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000" windowHeight="8625" tabRatio="911" firstSheet="1" activeTab="8"/>
  </bookViews>
  <sheets>
    <sheet name="Жеребьевка" sheetId="1" r:id="rId1"/>
    <sheet name="Модуль А-ПДД" sheetId="2" r:id="rId2"/>
    <sheet name="Модуль B-ЗУ ТРМ" sheetId="3" r:id="rId3"/>
    <sheet name="Модуль С-Приемка ПС" sheetId="4" r:id="rId4"/>
    <sheet name="Модуль D-КОП" sheetId="5" r:id="rId5"/>
    <sheet name="Модуль Е-Вождение" sheetId="6" r:id="rId6"/>
    <sheet name="Модуль G-Комф вождение" sheetId="7" r:id="rId7"/>
    <sheet name="ИТОГ" sheetId="8" r:id="rId8"/>
    <sheet name="ИТОГ (2)" sheetId="9" r:id="rId9"/>
  </sheets>
  <definedNames/>
  <calcPr fullCalcOnLoad="1"/>
</workbook>
</file>

<file path=xl/sharedStrings.xml><?xml version="1.0" encoding="utf-8"?>
<sst xmlns="http://schemas.openxmlformats.org/spreadsheetml/2006/main" count="339" uniqueCount="159">
  <si>
    <t>№</t>
  </si>
  <si>
    <t>балл</t>
  </si>
  <si>
    <t>время</t>
  </si>
  <si>
    <t>место</t>
  </si>
  <si>
    <t>доп баллы</t>
  </si>
  <si>
    <t>кол-во ответов</t>
  </si>
  <si>
    <t>ФИО</t>
  </si>
  <si>
    <t>результат</t>
  </si>
  <si>
    <t>итоговый результат</t>
  </si>
  <si>
    <t>доп. балл</t>
  </si>
  <si>
    <t>лучшее время</t>
  </si>
  <si>
    <t>кол-во прав. отв</t>
  </si>
  <si>
    <t>выше 10 мин</t>
  </si>
  <si>
    <t>ВОПРОС</t>
  </si>
  <si>
    <t>полнота ответа</t>
  </si>
  <si>
    <t>№ 1</t>
  </si>
  <si>
    <t>№ 2</t>
  </si>
  <si>
    <t>№ 3</t>
  </si>
  <si>
    <t>№ 4</t>
  </si>
  <si>
    <t>№ 5</t>
  </si>
  <si>
    <t>крит</t>
  </si>
  <si>
    <t>кол-во назв. поз</t>
  </si>
  <si>
    <t>мин. время</t>
  </si>
  <si>
    <t>общее время</t>
  </si>
  <si>
    <t>свыше 7 мин</t>
  </si>
  <si>
    <t>Часть 1 "Обязательные объявления"</t>
  </si>
  <si>
    <t>Часть 2 "Домашнее задание"</t>
  </si>
  <si>
    <t>названо пунктов</t>
  </si>
  <si>
    <t>достоприм. марш</t>
  </si>
  <si>
    <t>результат Ч1</t>
  </si>
  <si>
    <t>Раскр.темы</t>
  </si>
  <si>
    <t>Худож. впеч</t>
  </si>
  <si>
    <t>Стил. речи</t>
  </si>
  <si>
    <t>Дикция</t>
  </si>
  <si>
    <t>Популяр. проф</t>
  </si>
  <si>
    <t>результат Ч2</t>
  </si>
  <si>
    <t>Номер поста</t>
  </si>
  <si>
    <t>1 Старт</t>
  </si>
  <si>
    <t>2 Скорость 5 км/ч</t>
  </si>
  <si>
    <t>3 Стрелка</t>
  </si>
  <si>
    <t>4 Скорость 20 км/ч</t>
  </si>
  <si>
    <t>5 Скорость 30 км/ч</t>
  </si>
  <si>
    <t>6 Скорость 15 км/ч</t>
  </si>
  <si>
    <t>7 Остановка</t>
  </si>
  <si>
    <t>8 Экстренная остановка</t>
  </si>
  <si>
    <t>9 Стоп</t>
  </si>
  <si>
    <t>нарушения</t>
  </si>
  <si>
    <t>нарушение ОТ</t>
  </si>
  <si>
    <t>общее время трассы</t>
  </si>
  <si>
    <t>фары</t>
  </si>
  <si>
    <t>БД</t>
  </si>
  <si>
    <t>наруш</t>
  </si>
  <si>
    <t>штраф</t>
  </si>
  <si>
    <t>кол-во вып.эл</t>
  </si>
  <si>
    <t>полоса</t>
  </si>
  <si>
    <t>двери</t>
  </si>
  <si>
    <t>пред</t>
  </si>
  <si>
    <t>БД гол</t>
  </si>
  <si>
    <t>скорость</t>
  </si>
  <si>
    <t>наезд на линию</t>
  </si>
  <si>
    <t>кабина</t>
  </si>
  <si>
    <t>доклад</t>
  </si>
  <si>
    <t>ПДД</t>
  </si>
  <si>
    <t>ПТЭ</t>
  </si>
  <si>
    <t>ТБ</t>
  </si>
  <si>
    <t>ДИ</t>
  </si>
  <si>
    <t>Жеребьевка</t>
  </si>
  <si>
    <t>ФИО участника</t>
  </si>
  <si>
    <t>город</t>
  </si>
  <si>
    <t>XVIII Всероссийского конкурса "Лучший водитель трамвая" г. Волгоград 2021 г.</t>
  </si>
  <si>
    <t>Знание ПДД</t>
  </si>
  <si>
    <t>Теория</t>
  </si>
  <si>
    <t>Приемка ПС</t>
  </si>
  <si>
    <t>Культура обслуживания</t>
  </si>
  <si>
    <t>Вождение трамвая</t>
  </si>
  <si>
    <t>Комфортное вождение</t>
  </si>
  <si>
    <t>Главный судья</t>
  </si>
  <si>
    <t>Власов Е.М.</t>
  </si>
  <si>
    <t>8 Стоп</t>
  </si>
  <si>
    <t>нарушение ОТ / опрокид. макета</t>
  </si>
  <si>
    <t>мин. Время</t>
  </si>
  <si>
    <t>Богатырева Оксана Юрьевна</t>
  </si>
  <si>
    <t>Бондаренко Станислав Геннадьевич</t>
  </si>
  <si>
    <t>Володина Анастасия Александровна</t>
  </si>
  <si>
    <t>Гайнуллин Рустам Фаритович</t>
  </si>
  <si>
    <t>Гайнутдинова Асия Фаридовна</t>
  </si>
  <si>
    <t>Глуханюк Михаил Юрьевич</t>
  </si>
  <si>
    <t>Гнусов Павел Михайлович</t>
  </si>
  <si>
    <t>Грабилова Евгения Вячеславовна</t>
  </si>
  <si>
    <t>Демина Кристина Альбертовна</t>
  </si>
  <si>
    <t>Дикова Ирина Владимировна</t>
  </si>
  <si>
    <t>Долганов Никита Вячеславович</t>
  </si>
  <si>
    <t>Ефремов Александр Николаевич</t>
  </si>
  <si>
    <t>Кирова Татьяна Михайловна</t>
  </si>
  <si>
    <t>Королев Дмитрий Сергеевич</t>
  </si>
  <si>
    <t>Кузюк Валентина Павловна</t>
  </si>
  <si>
    <t>Лобачёва Анжелика Юрьевна</t>
  </si>
  <si>
    <t>Логинова Оксана Сергеевна</t>
  </si>
  <si>
    <t>Мартынов Владимир Михайлович</t>
  </si>
  <si>
    <t>Мельницын Сергей Владимирович</t>
  </si>
  <si>
    <t>Панкин Алексей Владимирович</t>
  </si>
  <si>
    <t>Пиженко Анатолий Александрович</t>
  </si>
  <si>
    <t>Полещук Юлия Викторовна</t>
  </si>
  <si>
    <t>Поляков Денис Анатольевич</t>
  </si>
  <si>
    <t>Прохорова Ольга Викторовна</t>
  </si>
  <si>
    <t>Сазеев Илья Михайлович</t>
  </si>
  <si>
    <t>Скударнов Игорь Сергеевич</t>
  </si>
  <si>
    <t>Филатов Александр Валерьевич</t>
  </si>
  <si>
    <t>Фомин Владимир Александрович</t>
  </si>
  <si>
    <t>Черных Максим Юрьевич</t>
  </si>
  <si>
    <t>Чугунова Ольга Викторовна</t>
  </si>
  <si>
    <t>Шахворостова Олеся Владимировна</t>
  </si>
  <si>
    <t>Шереверов Алексей Юрьевич</t>
  </si>
  <si>
    <t>Шибин Евгений Владимирович</t>
  </si>
  <si>
    <t>Шустров Олег Николаевич</t>
  </si>
  <si>
    <t>Шучалова Татьяна Владимировна</t>
  </si>
  <si>
    <t>Липецк</t>
  </si>
  <si>
    <t>Новокузнецк</t>
  </si>
  <si>
    <t>Новосибирск</t>
  </si>
  <si>
    <t>Челябинск</t>
  </si>
  <si>
    <t>Казань</t>
  </si>
  <si>
    <t>Санкт-Петербург</t>
  </si>
  <si>
    <t>Ижевск</t>
  </si>
  <si>
    <t>Москва</t>
  </si>
  <si>
    <t>Златоуст</t>
  </si>
  <si>
    <t>Коломна</t>
  </si>
  <si>
    <t>Самара</t>
  </si>
  <si>
    <t>Омск</t>
  </si>
  <si>
    <t>Пермь</t>
  </si>
  <si>
    <t>Ачинск</t>
  </si>
  <si>
    <t>Волгоград</t>
  </si>
  <si>
    <t>Волжский</t>
  </si>
  <si>
    <t>Орёл</t>
  </si>
  <si>
    <t>Екатеринбург</t>
  </si>
  <si>
    <t>Уфа</t>
  </si>
  <si>
    <t>Курск</t>
  </si>
  <si>
    <t>Новотроицк</t>
  </si>
  <si>
    <t>Ульяновск</t>
  </si>
  <si>
    <t>Нижний Новгород</t>
  </si>
  <si>
    <t>Краснодар</t>
  </si>
  <si>
    <t>Барнаул</t>
  </si>
  <si>
    <t>Ростов-на-Дону</t>
  </si>
  <si>
    <t>Саратов</t>
  </si>
  <si>
    <t>Набережные Челны</t>
  </si>
  <si>
    <t>Магнитогорск</t>
  </si>
  <si>
    <t>XVIII Всероссийский конкурс "Лучший водитель трамвая" г. Волгоград 2021 г.</t>
  </si>
  <si>
    <t>Модуль A "Знание правил дорожного движения"</t>
  </si>
  <si>
    <t>Модуль B "Знание устройства трамвая, ПТЭ, ДИ, ОБД и ОТ"</t>
  </si>
  <si>
    <t>больше 6 мин</t>
  </si>
  <si>
    <t>Модуль C "Приемка трамвая перед выездом на линию"</t>
  </si>
  <si>
    <t>Модуль D "Культура обслуживания"</t>
  </si>
  <si>
    <t>2,8 балла/ приближ 4 мин</t>
  </si>
  <si>
    <t>Модуль E "Вождение трамвая"</t>
  </si>
  <si>
    <t>Модуль G "Комфортное вождение"</t>
  </si>
  <si>
    <t>Панин Сергей Эдуардович</t>
  </si>
  <si>
    <t>Предварительные результаты</t>
  </si>
  <si>
    <t>Балл</t>
  </si>
  <si>
    <t>Главный судья ___________________________ Власов Е.М.</t>
  </si>
  <si>
    <t>Итоговые результаты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</si>
</sst>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h:mm;@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Arial Cyr"/>
      <family val="0"/>
    </font>
    <font>
      <sz val="7"/>
      <color indexed="10"/>
      <name val="Arial Cyr"/>
      <family val="0"/>
    </font>
    <font>
      <sz val="6"/>
      <name val="Arial Cyr"/>
      <family val="0"/>
    </font>
    <font>
      <sz val="6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52" applyAlignment="1" applyProtection="1">
      <alignment horizontal="center" vertical="center"/>
      <protection locked="0"/>
    </xf>
    <xf numFmtId="0" fontId="2" fillId="0" borderId="10" xfId="52" applyBorder="1" applyAlignment="1" applyProtection="1">
      <alignment horizontal="center" vertical="center"/>
      <protection locked="0"/>
    </xf>
    <xf numFmtId="0" fontId="2" fillId="0" borderId="10" xfId="52" applyBorder="1" applyAlignment="1" applyProtection="1">
      <alignment horizontal="center" vertical="center"/>
      <protection/>
    </xf>
    <xf numFmtId="166" fontId="2" fillId="0" borderId="10" xfId="52" applyNumberFormat="1" applyBorder="1" applyAlignment="1" applyProtection="1">
      <alignment horizontal="center" vertical="center"/>
      <protection locked="0"/>
    </xf>
    <xf numFmtId="0" fontId="2" fillId="0" borderId="10" xfId="52" applyNumberFormat="1" applyBorder="1" applyAlignment="1" applyProtection="1">
      <alignment horizontal="center" vertical="center"/>
      <protection locked="0"/>
    </xf>
    <xf numFmtId="0" fontId="2" fillId="0" borderId="10" xfId="52" applyNumberFormat="1" applyBorder="1" applyAlignment="1" applyProtection="1">
      <alignment horizontal="center" vertical="center"/>
      <protection/>
    </xf>
    <xf numFmtId="0" fontId="2" fillId="0" borderId="0" xfId="52" applyBorder="1" applyAlignment="1" applyProtection="1">
      <alignment horizontal="center" vertical="center"/>
      <protection locked="0"/>
    </xf>
    <xf numFmtId="0" fontId="2" fillId="0" borderId="0" xfId="52" applyAlignment="1" applyProtection="1">
      <alignment vertical="center"/>
      <protection locked="0"/>
    </xf>
    <xf numFmtId="0" fontId="2" fillId="33" borderId="10" xfId="52" applyFill="1" applyBorder="1" applyAlignment="1" applyProtection="1">
      <alignment horizontal="left" vertical="center"/>
      <protection locked="0"/>
    </xf>
    <xf numFmtId="0" fontId="2" fillId="33" borderId="10" xfId="52" applyFill="1" applyBorder="1" applyAlignment="1" applyProtection="1">
      <alignment horizontal="center" vertical="center"/>
      <protection locked="0"/>
    </xf>
    <xf numFmtId="0" fontId="3" fillId="0" borderId="10" xfId="52" applyFont="1" applyBorder="1" applyAlignment="1" applyProtection="1">
      <alignment horizontal="center" vertical="center"/>
      <protection locked="0"/>
    </xf>
    <xf numFmtId="0" fontId="3" fillId="34" borderId="10" xfId="52" applyFont="1" applyFill="1" applyBorder="1" applyAlignment="1" applyProtection="1">
      <alignment horizontal="center" vertical="center"/>
      <protection locked="0"/>
    </xf>
    <xf numFmtId="0" fontId="2" fillId="34" borderId="10" xfId="52" applyNumberFormat="1" applyFill="1" applyBorder="1" applyAlignment="1" applyProtection="1">
      <alignment horizontal="center" vertical="center"/>
      <protection/>
    </xf>
    <xf numFmtId="0" fontId="2" fillId="0" borderId="10" xfId="52" applyFill="1" applyBorder="1" applyAlignment="1" applyProtection="1">
      <alignment horizontal="center" vertical="center"/>
      <protection/>
    </xf>
    <xf numFmtId="166" fontId="2" fillId="0" borderId="10" xfId="52" applyNumberFormat="1" applyFill="1" applyBorder="1" applyAlignment="1" applyProtection="1">
      <alignment horizontal="center" vertical="center"/>
      <protection locked="0"/>
    </xf>
    <xf numFmtId="0" fontId="0" fillId="33" borderId="0" xfId="52" applyFont="1" applyFill="1" applyAlignment="1" applyProtection="1">
      <alignment horizontal="center" vertical="center"/>
      <protection locked="0"/>
    </xf>
    <xf numFmtId="0" fontId="2" fillId="33" borderId="0" xfId="52" applyFill="1" applyAlignment="1" applyProtection="1">
      <alignment horizontal="center" vertical="center"/>
      <protection locked="0"/>
    </xf>
    <xf numFmtId="0" fontId="2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2" fillId="0" borderId="11" xfId="52" applyFont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 vertical="center" wrapText="1"/>
      <protection/>
    </xf>
    <xf numFmtId="0" fontId="2" fillId="0" borderId="10" xfId="52" applyFont="1" applyBorder="1" applyAlignment="1" applyProtection="1">
      <alignment horizontal="center" vertical="center"/>
      <protection locked="0"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6" fillId="0" borderId="10" xfId="52" applyFont="1" applyFill="1" applyBorder="1" applyAlignment="1" applyProtection="1">
      <alignment horizontal="center" vertical="center"/>
      <protection/>
    </xf>
    <xf numFmtId="0" fontId="5" fillId="0" borderId="10" xfId="52" applyFont="1" applyFill="1" applyBorder="1" applyAlignment="1" applyProtection="1">
      <alignment horizontal="center" vertical="center"/>
      <protection/>
    </xf>
    <xf numFmtId="167" fontId="2" fillId="0" borderId="10" xfId="52" applyNumberFormat="1" applyFill="1" applyBorder="1" applyAlignment="1" applyProtection="1">
      <alignment horizontal="center" vertical="center"/>
      <protection locked="0"/>
    </xf>
    <xf numFmtId="0" fontId="7" fillId="0" borderId="10" xfId="52" applyFont="1" applyFill="1" applyBorder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10" xfId="52" applyFont="1" applyBorder="1" applyAlignment="1" applyProtection="1">
      <alignment horizontal="center" vertical="center"/>
      <protection locked="0"/>
    </xf>
    <xf numFmtId="0" fontId="8" fillId="0" borderId="10" xfId="52" applyFont="1" applyBorder="1" applyAlignment="1" applyProtection="1">
      <alignment horizontal="left" vertical="center"/>
      <protection locked="0"/>
    </xf>
    <xf numFmtId="0" fontId="2" fillId="0" borderId="0" xfId="52" applyFill="1" applyAlignment="1" applyProtection="1">
      <alignment horizontal="center" vertical="center"/>
      <protection locked="0"/>
    </xf>
    <xf numFmtId="0" fontId="2" fillId="0" borderId="10" xfId="52" applyFill="1" applyBorder="1" applyAlignment="1" applyProtection="1">
      <alignment horizontal="center" vertical="center"/>
      <protection locked="0"/>
    </xf>
    <xf numFmtId="0" fontId="10" fillId="0" borderId="10" xfId="52" applyFont="1" applyFill="1" applyBorder="1" applyAlignment="1" applyProtection="1">
      <alignment horizontal="center" vertical="center"/>
      <protection locked="0"/>
    </xf>
    <xf numFmtId="0" fontId="2" fillId="0" borderId="10" xfId="52" applyFont="1" applyFill="1" applyBorder="1" applyAlignment="1" applyProtection="1">
      <alignment horizontal="center" vertical="center"/>
      <protection locked="0"/>
    </xf>
    <xf numFmtId="0" fontId="2" fillId="0" borderId="10" xfId="52" applyFill="1" applyBorder="1" applyAlignment="1" applyProtection="1">
      <alignment horizontal="left" vertical="center"/>
      <protection/>
    </xf>
    <xf numFmtId="0" fontId="2" fillId="0" borderId="10" xfId="52" applyNumberFormat="1" applyFill="1" applyBorder="1" applyAlignment="1" applyProtection="1">
      <alignment horizontal="left" vertical="center"/>
      <protection/>
    </xf>
    <xf numFmtId="0" fontId="10" fillId="0" borderId="10" xfId="52" applyFont="1" applyFill="1" applyBorder="1" applyAlignment="1" applyProtection="1">
      <alignment horizontal="center" vertical="center"/>
      <protection/>
    </xf>
    <xf numFmtId="0" fontId="2" fillId="0" borderId="12" xfId="52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left" vertical="center" wrapText="1"/>
    </xf>
    <xf numFmtId="0" fontId="2" fillId="0" borderId="10" xfId="52" applyBorder="1" applyAlignment="1" applyProtection="1">
      <alignment horizontal="left" vertical="center"/>
      <protection/>
    </xf>
    <xf numFmtId="0" fontId="10" fillId="0" borderId="0" xfId="52" applyFont="1" applyAlignment="1" applyProtection="1">
      <alignment vertical="center"/>
      <protection locked="0"/>
    </xf>
    <xf numFmtId="0" fontId="2" fillId="0" borderId="10" xfId="52" applyBorder="1" applyAlignment="1" applyProtection="1">
      <alignment horizontal="left" vertical="center"/>
      <protection locked="0"/>
    </xf>
    <xf numFmtId="0" fontId="0" fillId="0" borderId="10" xfId="52" applyFont="1" applyBorder="1" applyAlignment="1" applyProtection="1">
      <alignment horizontal="left" vertical="center"/>
      <protection locked="0"/>
    </xf>
    <xf numFmtId="0" fontId="47" fillId="0" borderId="10" xfId="52" applyFont="1" applyBorder="1" applyAlignment="1" applyProtection="1">
      <alignment horizontal="center" vertical="center"/>
      <protection locked="0"/>
    </xf>
    <xf numFmtId="0" fontId="47" fillId="0" borderId="10" xfId="52" applyNumberFormat="1" applyFont="1" applyBorder="1" applyAlignment="1" applyProtection="1">
      <alignment horizontal="center" vertical="center"/>
      <protection/>
    </xf>
    <xf numFmtId="166" fontId="47" fillId="0" borderId="10" xfId="52" applyNumberFormat="1" applyFont="1" applyBorder="1" applyAlignment="1" applyProtection="1">
      <alignment horizontal="center" vertical="center"/>
      <protection locked="0"/>
    </xf>
    <xf numFmtId="0" fontId="2" fillId="0" borderId="10" xfId="52" applyNumberFormat="1" applyFill="1" applyBorder="1" applyAlignment="1" applyProtection="1">
      <alignment horizontal="center" vertical="center"/>
      <protection/>
    </xf>
    <xf numFmtId="0" fontId="48" fillId="0" borderId="10" xfId="52" applyFont="1" applyFill="1" applyBorder="1" applyAlignment="1" applyProtection="1">
      <alignment horizontal="center" vertical="center"/>
      <protection locked="0"/>
    </xf>
    <xf numFmtId="0" fontId="47" fillId="0" borderId="10" xfId="52" applyFont="1" applyFill="1" applyBorder="1" applyAlignment="1" applyProtection="1">
      <alignment horizontal="center" vertical="center"/>
      <protection locked="0"/>
    </xf>
    <xf numFmtId="166" fontId="2" fillId="0" borderId="10" xfId="52" applyNumberFormat="1" applyFont="1" applyFill="1" applyBorder="1" applyAlignment="1" applyProtection="1">
      <alignment horizontal="center" vertical="center"/>
      <protection locked="0"/>
    </xf>
    <xf numFmtId="166" fontId="47" fillId="0" borderId="10" xfId="52" applyNumberFormat="1" applyFont="1" applyFill="1" applyBorder="1" applyAlignment="1" applyProtection="1">
      <alignment horizontal="center" vertical="center"/>
      <protection locked="0"/>
    </xf>
    <xf numFmtId="0" fontId="2" fillId="0" borderId="10" xfId="52" applyFill="1" applyBorder="1" applyAlignment="1" applyProtection="1">
      <alignment horizontal="left" vertical="center"/>
      <protection locked="0"/>
    </xf>
    <xf numFmtId="0" fontId="10" fillId="0" borderId="10" xfId="52" applyFont="1" applyBorder="1" applyAlignment="1" applyProtection="1">
      <alignment horizontal="center" vertical="center"/>
      <protection/>
    </xf>
    <xf numFmtId="0" fontId="2" fillId="0" borderId="10" xfId="52" applyNumberFormat="1" applyFont="1" applyBorder="1" applyAlignment="1" applyProtection="1">
      <alignment horizontal="center" vertical="center"/>
      <protection locked="0"/>
    </xf>
    <xf numFmtId="0" fontId="7" fillId="0" borderId="10" xfId="52" applyFont="1" applyFill="1" applyBorder="1" applyAlignment="1" applyProtection="1">
      <alignment horizontal="center" vertical="center"/>
      <protection locked="0"/>
    </xf>
    <xf numFmtId="0" fontId="2" fillId="0" borderId="0" xfId="52" applyFill="1" applyBorder="1" applyAlignment="1" applyProtection="1">
      <alignment horizontal="center" vertical="center"/>
      <protection locked="0"/>
    </xf>
    <xf numFmtId="0" fontId="4" fillId="0" borderId="10" xfId="52" applyFont="1" applyFill="1" applyBorder="1" applyAlignment="1" applyProtection="1">
      <alignment horizontal="center" vertical="center"/>
      <protection/>
    </xf>
    <xf numFmtId="0" fontId="3" fillId="0" borderId="11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48" fillId="0" borderId="10" xfId="52" applyFont="1" applyFill="1" applyBorder="1" applyAlignment="1" applyProtection="1">
      <alignment horizontal="center" vertical="center"/>
      <protection/>
    </xf>
    <xf numFmtId="0" fontId="49" fillId="0" borderId="10" xfId="52" applyFont="1" applyFill="1" applyBorder="1" applyAlignment="1" applyProtection="1">
      <alignment horizontal="center" vertical="center"/>
      <protection/>
    </xf>
    <xf numFmtId="0" fontId="2" fillId="0" borderId="0" xfId="52" applyFill="1" applyBorder="1" applyAlignment="1" applyProtection="1">
      <alignment horizontal="center" vertical="center"/>
      <protection/>
    </xf>
    <xf numFmtId="167" fontId="47" fillId="0" borderId="10" xfId="52" applyNumberFormat="1" applyFont="1" applyFill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10" xfId="52" applyFont="1" applyBorder="1" applyAlignment="1" applyProtection="1">
      <alignment horizontal="center" vertical="center" wrapText="1"/>
      <protection locked="0"/>
    </xf>
    <xf numFmtId="0" fontId="8" fillId="0" borderId="10" xfId="52" applyFont="1" applyBorder="1" applyAlignment="1" applyProtection="1">
      <alignment horizontal="center" vertical="center"/>
      <protection locked="0"/>
    </xf>
    <xf numFmtId="0" fontId="8" fillId="0" borderId="11" xfId="52" applyFont="1" applyBorder="1" applyAlignment="1" applyProtection="1">
      <alignment horizontal="center" vertical="center"/>
      <protection locked="0"/>
    </xf>
    <xf numFmtId="0" fontId="8" fillId="0" borderId="13" xfId="52" applyFont="1" applyBorder="1" applyAlignment="1" applyProtection="1">
      <alignment horizontal="center" vertical="center"/>
      <protection locked="0"/>
    </xf>
    <xf numFmtId="0" fontId="2" fillId="0" borderId="10" xfId="52" applyBorder="1" applyAlignment="1" applyProtection="1">
      <alignment horizontal="center" vertical="center" wrapText="1"/>
      <protection locked="0"/>
    </xf>
    <xf numFmtId="0" fontId="2" fillId="0" borderId="11" xfId="52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52" applyAlignment="1" applyProtection="1">
      <alignment horizontal="center" vertical="center"/>
      <protection locked="0"/>
    </xf>
    <xf numFmtId="0" fontId="10" fillId="0" borderId="0" xfId="52" applyFont="1" applyAlignment="1" applyProtection="1">
      <alignment horizontal="center" vertical="center"/>
      <protection locked="0"/>
    </xf>
    <xf numFmtId="0" fontId="2" fillId="0" borderId="13" xfId="52" applyBorder="1" applyAlignment="1" applyProtection="1">
      <alignment horizontal="center" vertical="center" wrapText="1"/>
      <protection locked="0"/>
    </xf>
    <xf numFmtId="0" fontId="10" fillId="0" borderId="10" xfId="52" applyFont="1" applyBorder="1" applyAlignment="1" applyProtection="1">
      <alignment horizontal="center" vertical="center" wrapText="1"/>
      <protection locked="0"/>
    </xf>
    <xf numFmtId="0" fontId="2" fillId="0" borderId="10" xfId="52" applyBorder="1" applyAlignment="1" applyProtection="1">
      <alignment horizontal="center" vertical="center"/>
      <protection locked="0"/>
    </xf>
    <xf numFmtId="0" fontId="2" fillId="0" borderId="14" xfId="52" applyBorder="1" applyAlignment="1" applyProtection="1">
      <alignment horizontal="center" vertical="center" wrapText="1"/>
      <protection locked="0"/>
    </xf>
    <xf numFmtId="0" fontId="2" fillId="0" borderId="10" xfId="52" applyBorder="1" applyAlignment="1" applyProtection="1">
      <alignment horizontal="center" vertical="center" wrapText="1"/>
      <protection/>
    </xf>
    <xf numFmtId="0" fontId="2" fillId="0" borderId="10" xfId="52" applyBorder="1" applyAlignment="1" applyProtection="1">
      <alignment horizontal="center" vertical="center"/>
      <protection/>
    </xf>
    <xf numFmtId="0" fontId="0" fillId="0" borderId="11" xfId="52" applyFont="1" applyBorder="1" applyAlignment="1" applyProtection="1">
      <alignment horizontal="center" vertical="center" wrapText="1"/>
      <protection locked="0"/>
    </xf>
    <xf numFmtId="0" fontId="2" fillId="0" borderId="13" xfId="52" applyBorder="1" applyAlignment="1">
      <alignment horizontal="center" vertical="center" wrapText="1"/>
      <protection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52" applyFont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vertical="center"/>
      <protection locked="0"/>
    </xf>
    <xf numFmtId="0" fontId="2" fillId="0" borderId="10" xfId="52" applyFont="1" applyBorder="1" applyAlignment="1" applyProtection="1">
      <alignment horizontal="center" vertical="center" wrapText="1"/>
      <protection/>
    </xf>
    <xf numFmtId="0" fontId="0" fillId="0" borderId="10" xfId="52" applyFont="1" applyBorder="1" applyAlignment="1" applyProtection="1">
      <alignment horizontal="center" vertical="center"/>
      <protection locked="0"/>
    </xf>
    <xf numFmtId="0" fontId="2" fillId="0" borderId="12" xfId="52" applyFont="1" applyFill="1" applyBorder="1" applyAlignment="1" applyProtection="1">
      <alignment horizontal="center" vertical="center"/>
      <protection locked="0"/>
    </xf>
    <xf numFmtId="0" fontId="10" fillId="0" borderId="10" xfId="52" applyFont="1" applyBorder="1" applyAlignment="1" applyProtection="1">
      <alignment horizontal="center" vertical="center" wrapText="1"/>
      <protection/>
    </xf>
    <xf numFmtId="0" fontId="2" fillId="0" borderId="0" xfId="52" applyFill="1" applyAlignment="1" applyProtection="1">
      <alignment horizontal="center" vertical="center"/>
      <protection locked="0"/>
    </xf>
    <xf numFmtId="0" fontId="10" fillId="0" borderId="0" xfId="52" applyFont="1" applyFill="1" applyAlignment="1" applyProtection="1">
      <alignment horizontal="center" vertical="center"/>
      <protection locked="0"/>
    </xf>
    <xf numFmtId="0" fontId="3" fillId="0" borderId="11" xfId="52" applyFont="1" applyFill="1" applyBorder="1" applyAlignment="1" applyProtection="1">
      <alignment horizontal="center" vertical="center" wrapText="1"/>
      <protection/>
    </xf>
    <xf numFmtId="0" fontId="3" fillId="0" borderId="13" xfId="52" applyFont="1" applyFill="1" applyBorder="1" applyAlignment="1" applyProtection="1">
      <alignment horizontal="center" vertical="center" wrapText="1"/>
      <protection/>
    </xf>
    <xf numFmtId="0" fontId="11" fillId="0" borderId="11" xfId="52" applyFont="1" applyFill="1" applyBorder="1" applyAlignment="1" applyProtection="1">
      <alignment horizontal="center" vertical="center" wrapText="1"/>
      <protection/>
    </xf>
    <xf numFmtId="0" fontId="11" fillId="0" borderId="13" xfId="52" applyFont="1" applyFill="1" applyBorder="1" applyAlignment="1" applyProtection="1">
      <alignment horizontal="center" vertical="center" wrapText="1"/>
      <protection/>
    </xf>
    <xf numFmtId="0" fontId="2" fillId="0" borderId="10" xfId="52" applyFill="1" applyBorder="1" applyAlignment="1" applyProtection="1">
      <alignment horizontal="center" vertical="center"/>
      <protection/>
    </xf>
    <xf numFmtId="0" fontId="2" fillId="0" borderId="10" xfId="52" applyFill="1" applyBorder="1" applyAlignment="1" applyProtection="1">
      <alignment horizontal="center" vertical="center" wrapText="1"/>
      <protection locked="0"/>
    </xf>
    <xf numFmtId="0" fontId="2" fillId="0" borderId="11" xfId="52" applyFill="1" applyBorder="1" applyAlignment="1" applyProtection="1">
      <alignment horizontal="center" vertical="center" wrapText="1"/>
      <protection locked="0"/>
    </xf>
    <xf numFmtId="0" fontId="2" fillId="0" borderId="14" xfId="52" applyFill="1" applyBorder="1" applyAlignment="1" applyProtection="1">
      <alignment horizontal="center" vertical="center" wrapText="1"/>
      <protection locked="0"/>
    </xf>
    <xf numFmtId="0" fontId="2" fillId="0" borderId="13" xfId="52" applyFill="1" applyBorder="1" applyAlignment="1" applyProtection="1">
      <alignment horizontal="center" vertical="center" wrapText="1"/>
      <protection locked="0"/>
    </xf>
    <xf numFmtId="0" fontId="2" fillId="0" borderId="10" xfId="52" applyFill="1" applyBorder="1" applyAlignment="1" applyProtection="1">
      <alignment horizontal="center" vertical="center"/>
      <protection locked="0"/>
    </xf>
    <xf numFmtId="0" fontId="2" fillId="0" borderId="15" xfId="52" applyFill="1" applyBorder="1" applyAlignment="1" applyProtection="1">
      <alignment horizontal="center" vertical="center"/>
      <protection/>
    </xf>
    <xf numFmtId="0" fontId="2" fillId="0" borderId="16" xfId="52" applyFill="1" applyBorder="1" applyAlignment="1" applyProtection="1">
      <alignment horizontal="center" vertical="center"/>
      <protection/>
    </xf>
    <xf numFmtId="0" fontId="2" fillId="0" borderId="17" xfId="52" applyFill="1" applyBorder="1" applyAlignment="1" applyProtection="1">
      <alignment horizontal="center" vertical="center"/>
      <protection/>
    </xf>
    <xf numFmtId="0" fontId="4" fillId="0" borderId="10" xfId="52" applyFont="1" applyFill="1" applyBorder="1" applyAlignment="1" applyProtection="1">
      <alignment horizontal="center" vertical="center"/>
      <protection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3" xfId="52" applyFont="1" applyFill="1" applyBorder="1" applyAlignment="1" applyProtection="1">
      <alignment horizontal="center" vertical="center" wrapText="1"/>
      <protection/>
    </xf>
    <xf numFmtId="0" fontId="2" fillId="0" borderId="15" xfId="52" applyFill="1" applyBorder="1" applyAlignment="1" applyProtection="1">
      <alignment horizontal="center" vertical="center"/>
      <protection locked="0"/>
    </xf>
    <xf numFmtId="0" fontId="2" fillId="0" borderId="16" xfId="52" applyFill="1" applyBorder="1" applyAlignment="1" applyProtection="1">
      <alignment horizontal="center" vertical="center"/>
      <protection locked="0"/>
    </xf>
    <xf numFmtId="0" fontId="2" fillId="0" borderId="17" xfId="52" applyFill="1" applyBorder="1" applyAlignment="1" applyProtection="1">
      <alignment horizontal="center" vertical="center"/>
      <protection locked="0"/>
    </xf>
    <xf numFmtId="0" fontId="2" fillId="0" borderId="12" xfId="52" applyFill="1" applyBorder="1" applyAlignment="1" applyProtection="1">
      <alignment horizontal="center" vertical="center"/>
      <protection locked="0"/>
    </xf>
    <xf numFmtId="0" fontId="2" fillId="0" borderId="0" xfId="52" applyFill="1" applyAlignment="1" applyProtection="1">
      <alignment horizontal="right" vertical="center"/>
      <protection locked="0"/>
    </xf>
    <xf numFmtId="0" fontId="2" fillId="0" borderId="0" xfId="52" applyFill="1" applyAlignment="1" applyProtection="1">
      <alignment horizontal="left" vertical="center"/>
      <protection locked="0"/>
    </xf>
    <xf numFmtId="0" fontId="9" fillId="0" borderId="0" xfId="52" applyFont="1" applyFill="1" applyAlignment="1" applyProtection="1">
      <alignment horizontal="center" vertical="center"/>
      <protection locked="0"/>
    </xf>
    <xf numFmtId="0" fontId="10" fillId="0" borderId="18" xfId="52" applyFont="1" applyFill="1" applyBorder="1" applyAlignment="1" applyProtection="1">
      <alignment horizontal="center" vertical="center" wrapText="1"/>
      <protection locked="0"/>
    </xf>
    <xf numFmtId="0" fontId="10" fillId="0" borderId="19" xfId="52" applyFont="1" applyFill="1" applyBorder="1" applyAlignment="1" applyProtection="1">
      <alignment horizontal="center" vertical="center" wrapText="1"/>
      <protection locked="0"/>
    </xf>
    <xf numFmtId="0" fontId="10" fillId="0" borderId="20" xfId="52" applyFont="1" applyFill="1" applyBorder="1" applyAlignment="1" applyProtection="1">
      <alignment horizontal="center" vertical="center" wrapText="1"/>
      <protection locked="0"/>
    </xf>
    <xf numFmtId="0" fontId="10" fillId="0" borderId="21" xfId="52" applyFont="1" applyFill="1" applyBorder="1" applyAlignment="1" applyProtection="1">
      <alignment horizontal="center" vertical="center" wrapText="1"/>
      <protection locked="0"/>
    </xf>
    <xf numFmtId="0" fontId="10" fillId="0" borderId="11" xfId="52" applyFont="1" applyFill="1" applyBorder="1" applyAlignment="1" applyProtection="1">
      <alignment horizontal="center" vertical="center"/>
      <protection locked="0"/>
    </xf>
    <xf numFmtId="0" fontId="10" fillId="0" borderId="13" xfId="52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1009650</xdr:colOff>
      <xdr:row>0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1009650</xdr:colOff>
      <xdr:row>0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C45"/>
  <sheetViews>
    <sheetView zoomScale="80" zoomScaleNormal="80" zoomScalePageLayoutView="0" workbookViewId="0" topLeftCell="A4">
      <selection activeCell="B11" sqref="B11"/>
    </sheetView>
  </sheetViews>
  <sheetFormatPr defaultColWidth="9.140625" defaultRowHeight="15"/>
  <cols>
    <col min="1" max="1" width="12.00390625" style="30" customWidth="1"/>
    <col min="2" max="2" width="47.421875" style="30" customWidth="1"/>
    <col min="3" max="3" width="25.28125" style="30" customWidth="1"/>
    <col min="4" max="16384" width="9.140625" style="30" customWidth="1"/>
  </cols>
  <sheetData>
    <row r="1" ht="16.5" customHeight="1"/>
    <row r="2" spans="1:3" ht="16.5" customHeight="1">
      <c r="A2" s="66" t="s">
        <v>66</v>
      </c>
      <c r="B2" s="66"/>
      <c r="C2" s="66"/>
    </row>
    <row r="3" ht="16.5" customHeight="1"/>
    <row r="4" spans="1:3" ht="12.75" customHeight="1">
      <c r="A4" s="67" t="s">
        <v>0</v>
      </c>
      <c r="B4" s="68" t="s">
        <v>67</v>
      </c>
      <c r="C4" s="69" t="s">
        <v>68</v>
      </c>
    </row>
    <row r="5" spans="1:3" ht="18">
      <c r="A5" s="67"/>
      <c r="B5" s="68"/>
      <c r="C5" s="70"/>
    </row>
    <row r="6" spans="1:3" ht="18" customHeight="1">
      <c r="A6" s="31">
        <v>5</v>
      </c>
      <c r="B6" s="32" t="s">
        <v>81</v>
      </c>
      <c r="C6" s="41" t="s">
        <v>116</v>
      </c>
    </row>
    <row r="7" spans="1:3" ht="18" customHeight="1">
      <c r="A7" s="31">
        <v>12</v>
      </c>
      <c r="B7" s="32" t="s">
        <v>82</v>
      </c>
      <c r="C7" s="41" t="s">
        <v>118</v>
      </c>
    </row>
    <row r="8" spans="1:3" ht="18" customHeight="1">
      <c r="A8" s="31">
        <v>18</v>
      </c>
      <c r="B8" s="32" t="s">
        <v>83</v>
      </c>
      <c r="C8" s="41" t="s">
        <v>117</v>
      </c>
    </row>
    <row r="9" spans="1:3" ht="18" customHeight="1">
      <c r="A9" s="31">
        <v>3</v>
      </c>
      <c r="B9" s="32" t="s">
        <v>84</v>
      </c>
      <c r="C9" s="41" t="s">
        <v>119</v>
      </c>
    </row>
    <row r="10" spans="1:3" ht="18" customHeight="1">
      <c r="A10" s="31">
        <v>36</v>
      </c>
      <c r="B10" s="32" t="s">
        <v>85</v>
      </c>
      <c r="C10" s="41" t="s">
        <v>120</v>
      </c>
    </row>
    <row r="11" spans="1:3" ht="18" customHeight="1">
      <c r="A11" s="31">
        <v>23</v>
      </c>
      <c r="B11" s="32" t="s">
        <v>86</v>
      </c>
      <c r="C11" s="41" t="s">
        <v>121</v>
      </c>
    </row>
    <row r="12" spans="1:3" ht="18" customHeight="1">
      <c r="A12" s="31">
        <v>35</v>
      </c>
      <c r="B12" s="32" t="s">
        <v>87</v>
      </c>
      <c r="C12" s="41" t="s">
        <v>122</v>
      </c>
    </row>
    <row r="13" spans="1:3" ht="18" customHeight="1">
      <c r="A13" s="31">
        <v>15</v>
      </c>
      <c r="B13" s="32" t="s">
        <v>88</v>
      </c>
      <c r="C13" s="41" t="s">
        <v>123</v>
      </c>
    </row>
    <row r="14" spans="1:3" ht="18" customHeight="1">
      <c r="A14" s="31">
        <v>31</v>
      </c>
      <c r="B14" s="32" t="s">
        <v>89</v>
      </c>
      <c r="C14" s="41" t="s">
        <v>124</v>
      </c>
    </row>
    <row r="15" spans="1:3" ht="18" customHeight="1">
      <c r="A15" s="31">
        <v>30</v>
      </c>
      <c r="B15" s="32" t="s">
        <v>90</v>
      </c>
      <c r="C15" s="41" t="s">
        <v>125</v>
      </c>
    </row>
    <row r="16" spans="1:3" ht="18" customHeight="1">
      <c r="A16" s="31">
        <v>32</v>
      </c>
      <c r="B16" s="32" t="s">
        <v>91</v>
      </c>
      <c r="C16" s="41" t="s">
        <v>126</v>
      </c>
    </row>
    <row r="17" spans="1:3" ht="18" customHeight="1">
      <c r="A17" s="31">
        <v>17</v>
      </c>
      <c r="B17" s="32" t="s">
        <v>92</v>
      </c>
      <c r="C17" s="41" t="s">
        <v>127</v>
      </c>
    </row>
    <row r="18" spans="1:3" ht="18" customHeight="1">
      <c r="A18" s="31">
        <v>6</v>
      </c>
      <c r="B18" s="32" t="s">
        <v>93</v>
      </c>
      <c r="C18" s="41" t="s">
        <v>128</v>
      </c>
    </row>
    <row r="19" spans="1:3" ht="18" customHeight="1">
      <c r="A19" s="31">
        <v>20</v>
      </c>
      <c r="B19" s="32" t="s">
        <v>94</v>
      </c>
      <c r="C19" s="41" t="s">
        <v>123</v>
      </c>
    </row>
    <row r="20" spans="1:3" ht="18" customHeight="1">
      <c r="A20" s="31">
        <v>22</v>
      </c>
      <c r="B20" s="32" t="s">
        <v>95</v>
      </c>
      <c r="C20" s="41" t="s">
        <v>129</v>
      </c>
    </row>
    <row r="21" spans="1:3" ht="18" customHeight="1">
      <c r="A21" s="31">
        <v>24</v>
      </c>
      <c r="B21" s="32" t="s">
        <v>96</v>
      </c>
      <c r="C21" s="41" t="s">
        <v>130</v>
      </c>
    </row>
    <row r="22" spans="1:3" ht="18" customHeight="1">
      <c r="A22" s="31">
        <v>10</v>
      </c>
      <c r="B22" s="32" t="s">
        <v>97</v>
      </c>
      <c r="C22" s="41" t="s">
        <v>131</v>
      </c>
    </row>
    <row r="23" spans="1:3" ht="18" customHeight="1">
      <c r="A23" s="31">
        <v>4</v>
      </c>
      <c r="B23" s="32" t="s">
        <v>98</v>
      </c>
      <c r="C23" s="41" t="s">
        <v>132</v>
      </c>
    </row>
    <row r="24" spans="1:3" ht="18" customHeight="1">
      <c r="A24" s="31">
        <v>2</v>
      </c>
      <c r="B24" s="32" t="s">
        <v>99</v>
      </c>
      <c r="C24" s="41" t="s">
        <v>133</v>
      </c>
    </row>
    <row r="25" spans="1:3" ht="18" customHeight="1">
      <c r="A25" s="31">
        <v>33</v>
      </c>
      <c r="B25" s="32" t="s">
        <v>154</v>
      </c>
      <c r="C25" s="41" t="s">
        <v>126</v>
      </c>
    </row>
    <row r="26" spans="1:3" ht="18" customHeight="1">
      <c r="A26" s="31">
        <v>13</v>
      </c>
      <c r="B26" s="32" t="s">
        <v>100</v>
      </c>
      <c r="C26" s="41" t="s">
        <v>134</v>
      </c>
    </row>
    <row r="27" spans="1:3" ht="18" customHeight="1">
      <c r="A27" s="31">
        <v>25</v>
      </c>
      <c r="B27" s="32" t="s">
        <v>101</v>
      </c>
      <c r="C27" s="41" t="s">
        <v>130</v>
      </c>
    </row>
    <row r="28" spans="1:3" ht="18" customHeight="1">
      <c r="A28" s="31">
        <v>26</v>
      </c>
      <c r="B28" s="32" t="s">
        <v>102</v>
      </c>
      <c r="C28" s="41" t="s">
        <v>135</v>
      </c>
    </row>
    <row r="29" spans="1:3" ht="18" customHeight="1">
      <c r="A29" s="31">
        <v>16</v>
      </c>
      <c r="B29" s="32" t="s">
        <v>103</v>
      </c>
      <c r="C29" s="41" t="s">
        <v>136</v>
      </c>
    </row>
    <row r="30" spans="1:3" ht="18" customHeight="1">
      <c r="A30" s="31">
        <v>27</v>
      </c>
      <c r="B30" s="32" t="s">
        <v>104</v>
      </c>
      <c r="C30" s="41" t="s">
        <v>137</v>
      </c>
    </row>
    <row r="31" spans="1:3" ht="18" customHeight="1">
      <c r="A31" s="31">
        <v>21</v>
      </c>
      <c r="B31" s="32" t="s">
        <v>105</v>
      </c>
      <c r="C31" s="41" t="s">
        <v>138</v>
      </c>
    </row>
    <row r="32" spans="1:3" ht="18" customHeight="1">
      <c r="A32" s="31">
        <v>14</v>
      </c>
      <c r="B32" s="32" t="s">
        <v>106</v>
      </c>
      <c r="C32" s="41" t="s">
        <v>121</v>
      </c>
    </row>
    <row r="33" spans="1:3" ht="18" customHeight="1">
      <c r="A33" s="31">
        <v>28</v>
      </c>
      <c r="B33" s="32" t="s">
        <v>107</v>
      </c>
      <c r="C33" s="41" t="s">
        <v>119</v>
      </c>
    </row>
    <row r="34" spans="1:3" ht="18" customHeight="1">
      <c r="A34" s="31">
        <v>8</v>
      </c>
      <c r="B34" s="32" t="s">
        <v>108</v>
      </c>
      <c r="C34" s="41" t="s">
        <v>138</v>
      </c>
    </row>
    <row r="35" spans="1:3" ht="18" customHeight="1">
      <c r="A35" s="31">
        <v>19</v>
      </c>
      <c r="B35" s="32" t="s">
        <v>109</v>
      </c>
      <c r="C35" s="41" t="s">
        <v>118</v>
      </c>
    </row>
    <row r="36" spans="1:3" ht="18" customHeight="1">
      <c r="A36" s="31">
        <v>7</v>
      </c>
      <c r="B36" s="32" t="s">
        <v>110</v>
      </c>
      <c r="C36" s="41" t="s">
        <v>139</v>
      </c>
    </row>
    <row r="37" spans="1:3" ht="18" customHeight="1">
      <c r="A37" s="31">
        <v>11</v>
      </c>
      <c r="B37" s="32" t="s">
        <v>111</v>
      </c>
      <c r="C37" s="41" t="s">
        <v>140</v>
      </c>
    </row>
    <row r="38" spans="1:3" ht="18" customHeight="1">
      <c r="A38" s="31">
        <v>29</v>
      </c>
      <c r="B38" s="32" t="s">
        <v>112</v>
      </c>
      <c r="C38" s="41" t="s">
        <v>141</v>
      </c>
    </row>
    <row r="39" spans="1:3" ht="18" customHeight="1">
      <c r="A39" s="31">
        <v>1</v>
      </c>
      <c r="B39" s="32" t="s">
        <v>113</v>
      </c>
      <c r="C39" s="41" t="s">
        <v>142</v>
      </c>
    </row>
    <row r="40" spans="1:3" ht="18" customHeight="1">
      <c r="A40" s="31">
        <v>9</v>
      </c>
      <c r="B40" s="32" t="s">
        <v>114</v>
      </c>
      <c r="C40" s="41" t="s">
        <v>143</v>
      </c>
    </row>
    <row r="41" spans="1:3" ht="18" customHeight="1">
      <c r="A41" s="31">
        <v>34</v>
      </c>
      <c r="B41" s="32" t="s">
        <v>115</v>
      </c>
      <c r="C41" s="41" t="s">
        <v>144</v>
      </c>
    </row>
    <row r="42" spans="1:3" ht="18" customHeight="1">
      <c r="A42" s="31"/>
      <c r="B42" s="32"/>
      <c r="C42" s="32"/>
    </row>
    <row r="43" spans="1:3" ht="18" customHeight="1">
      <c r="A43" s="31"/>
      <c r="B43" s="32"/>
      <c r="C43" s="32"/>
    </row>
    <row r="44" spans="1:3" ht="18" customHeight="1">
      <c r="A44" s="31"/>
      <c r="B44" s="32"/>
      <c r="C44" s="32"/>
    </row>
    <row r="45" spans="1:3" ht="18" customHeight="1">
      <c r="A45" s="31"/>
      <c r="B45" s="32"/>
      <c r="C45" s="32"/>
    </row>
  </sheetData>
  <sheetProtection formatCells="0" formatColumns="0" formatRows="0"/>
  <mergeCells count="4">
    <mergeCell ref="A2:C2"/>
    <mergeCell ref="A4:A5"/>
    <mergeCell ref="B4:B5"/>
    <mergeCell ref="C4:C5"/>
  </mergeCells>
  <printOptions horizontalCentered="1"/>
  <pageMargins left="0.15748031496062992" right="0.15748031496062992" top="0.48" bottom="0.1968503937007874" header="0.48" footer="0.196850393700787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3:M44"/>
  <sheetViews>
    <sheetView zoomScalePageLayoutView="0" workbookViewId="0" topLeftCell="A38">
      <selection activeCell="C48" sqref="C48"/>
    </sheetView>
  </sheetViews>
  <sheetFormatPr defaultColWidth="9.140625" defaultRowHeight="15"/>
  <cols>
    <col min="1" max="1" width="4.8515625" style="1" customWidth="1"/>
    <col min="2" max="2" width="34.00390625" style="1" customWidth="1"/>
    <col min="3" max="6" width="9.140625" style="1" customWidth="1"/>
    <col min="7" max="7" width="10.28125" style="1" bestFit="1" customWidth="1"/>
    <col min="8" max="8" width="9.140625" style="1" customWidth="1"/>
    <col min="9" max="9" width="13.8515625" style="1" customWidth="1"/>
    <col min="10" max="11" width="9.140625" style="1" customWidth="1"/>
    <col min="12" max="12" width="13.00390625" style="1" customWidth="1"/>
    <col min="13" max="16384" width="9.140625" style="1" customWidth="1"/>
  </cols>
  <sheetData>
    <row r="3" spans="1:7" ht="12.75">
      <c r="A3" s="75" t="s">
        <v>145</v>
      </c>
      <c r="B3" s="75"/>
      <c r="C3" s="75"/>
      <c r="D3" s="75"/>
      <c r="E3" s="75"/>
      <c r="F3" s="75"/>
      <c r="G3" s="75"/>
    </row>
    <row r="5" spans="1:7" ht="12.75">
      <c r="A5" s="76" t="s">
        <v>146</v>
      </c>
      <c r="B5" s="76"/>
      <c r="C5" s="76"/>
      <c r="D5" s="76"/>
      <c r="E5" s="76"/>
      <c r="F5" s="76"/>
      <c r="G5" s="76"/>
    </row>
    <row r="7" spans="1:13" ht="12.75" customHeight="1">
      <c r="A7" s="71" t="s">
        <v>0</v>
      </c>
      <c r="B7" s="72" t="s">
        <v>6</v>
      </c>
      <c r="C7" s="72" t="s">
        <v>11</v>
      </c>
      <c r="D7" s="79" t="s">
        <v>7</v>
      </c>
      <c r="E7" s="79" t="s">
        <v>2</v>
      </c>
      <c r="F7" s="71" t="s">
        <v>4</v>
      </c>
      <c r="G7" s="78" t="s">
        <v>8</v>
      </c>
      <c r="I7" s="71" t="s">
        <v>5</v>
      </c>
      <c r="J7" s="71" t="s">
        <v>1</v>
      </c>
      <c r="L7" s="71" t="s">
        <v>10</v>
      </c>
      <c r="M7" s="71" t="s">
        <v>9</v>
      </c>
    </row>
    <row r="8" spans="1:13" ht="12.75">
      <c r="A8" s="71"/>
      <c r="B8" s="77"/>
      <c r="C8" s="73"/>
      <c r="D8" s="79"/>
      <c r="E8" s="79"/>
      <c r="F8" s="71"/>
      <c r="G8" s="78"/>
      <c r="I8" s="74"/>
      <c r="J8" s="74"/>
      <c r="L8" s="74"/>
      <c r="M8" s="74"/>
    </row>
    <row r="9" spans="1:13" ht="12.75">
      <c r="A9" s="2">
        <v>1</v>
      </c>
      <c r="B9" s="42" t="str">
        <f>IF(A9="","",VLOOKUP(A9,Жеребьевка!$A$6:$C$45,2,0))</f>
        <v>Шибин Евгений Владимирович</v>
      </c>
      <c r="C9" s="34">
        <v>18</v>
      </c>
      <c r="D9" s="49">
        <f aca="true" t="shared" si="0" ref="D9:D44">IF(C9="","",VLOOKUP(C9,$I$9:$J$44,2,0))</f>
        <v>9</v>
      </c>
      <c r="E9" s="15">
        <v>0.6166666666666667</v>
      </c>
      <c r="F9" s="34">
        <v>0</v>
      </c>
      <c r="G9" s="39">
        <f aca="true" t="shared" si="1" ref="G9:G44">D9+F9</f>
        <v>9</v>
      </c>
      <c r="I9" s="2">
        <v>20</v>
      </c>
      <c r="J9" s="2">
        <v>10</v>
      </c>
      <c r="L9" s="2">
        <v>1</v>
      </c>
      <c r="M9" s="2">
        <v>2</v>
      </c>
    </row>
    <row r="10" spans="1:13" ht="12.75">
      <c r="A10" s="2">
        <v>2</v>
      </c>
      <c r="B10" s="42" t="str">
        <f>IF(A10="","",VLOOKUP(A10,Жеребьевка!$A$6:$C$45,2,0))</f>
        <v>Мельницын Сергей Владимирович</v>
      </c>
      <c r="C10" s="2">
        <v>20</v>
      </c>
      <c r="D10" s="6">
        <f t="shared" si="0"/>
        <v>10</v>
      </c>
      <c r="E10" s="4">
        <v>0.17222222222222225</v>
      </c>
      <c r="F10" s="2">
        <v>0</v>
      </c>
      <c r="G10" s="55">
        <f t="shared" si="1"/>
        <v>10</v>
      </c>
      <c r="I10" s="2">
        <v>19</v>
      </c>
      <c r="J10" s="2">
        <v>9.5</v>
      </c>
      <c r="L10" s="2">
        <v>2</v>
      </c>
      <c r="M10" s="2">
        <v>1.5</v>
      </c>
    </row>
    <row r="11" spans="1:13" ht="12.75">
      <c r="A11" s="2">
        <v>3</v>
      </c>
      <c r="B11" s="42" t="str">
        <f>IF(A11="","",VLOOKUP(A11,Жеребьевка!$A$6:$C$45,2,0))</f>
        <v>Гайнуллин Рустам Фаритович</v>
      </c>
      <c r="C11" s="2">
        <v>20</v>
      </c>
      <c r="D11" s="6">
        <f t="shared" si="0"/>
        <v>10</v>
      </c>
      <c r="E11" s="4">
        <v>0.06388888888888888</v>
      </c>
      <c r="F11" s="2">
        <v>0.8</v>
      </c>
      <c r="G11" s="55">
        <f t="shared" si="1"/>
        <v>10.8</v>
      </c>
      <c r="I11" s="2">
        <v>18</v>
      </c>
      <c r="J11" s="2">
        <v>9</v>
      </c>
      <c r="L11" s="2">
        <v>3</v>
      </c>
      <c r="M11" s="2">
        <v>1</v>
      </c>
    </row>
    <row r="12" spans="1:13" ht="12.75">
      <c r="A12" s="2">
        <v>4</v>
      </c>
      <c r="B12" s="42" t="str">
        <f>IF(A12="","",VLOOKUP(A12,Жеребьевка!$A$6:$C$45,2,0))</f>
        <v>Мартынов Владимир Михайлович</v>
      </c>
      <c r="C12" s="2">
        <v>19</v>
      </c>
      <c r="D12" s="6">
        <f t="shared" si="0"/>
        <v>9.5</v>
      </c>
      <c r="E12" s="4">
        <v>0.18541666666666667</v>
      </c>
      <c r="F12" s="2">
        <v>0</v>
      </c>
      <c r="G12" s="55">
        <f t="shared" si="1"/>
        <v>9.5</v>
      </c>
      <c r="I12" s="2">
        <v>17</v>
      </c>
      <c r="J12" s="2">
        <v>0</v>
      </c>
      <c r="L12" s="2">
        <v>4</v>
      </c>
      <c r="M12" s="2">
        <v>0.8</v>
      </c>
    </row>
    <row r="13" spans="1:13" ht="12.75">
      <c r="A13" s="2">
        <v>5</v>
      </c>
      <c r="B13" s="42" t="str">
        <f>IF(A13="","",VLOOKUP(A13,Жеребьевка!$A$6:$C$45,2,0))</f>
        <v>Богатырева Оксана Юрьевна</v>
      </c>
      <c r="C13" s="2">
        <v>20</v>
      </c>
      <c r="D13" s="6">
        <f t="shared" si="0"/>
        <v>10</v>
      </c>
      <c r="E13" s="4">
        <v>0.11527777777777777</v>
      </c>
      <c r="F13" s="2">
        <v>0</v>
      </c>
      <c r="G13" s="55">
        <f t="shared" si="1"/>
        <v>10</v>
      </c>
      <c r="I13" s="2">
        <v>16</v>
      </c>
      <c r="J13" s="2">
        <v>0</v>
      </c>
      <c r="L13" s="2">
        <v>5</v>
      </c>
      <c r="M13" s="2">
        <v>0.4</v>
      </c>
    </row>
    <row r="14" spans="1:13" ht="12.75">
      <c r="A14" s="2">
        <v>6</v>
      </c>
      <c r="B14" s="42" t="str">
        <f>IF(A14="","",VLOOKUP(A14,Жеребьевка!$A$6:$C$45,2,0))</f>
        <v>Кирова Татьяна Михайловна</v>
      </c>
      <c r="C14" s="2">
        <v>19</v>
      </c>
      <c r="D14" s="6">
        <f t="shared" si="0"/>
        <v>9.5</v>
      </c>
      <c r="E14" s="4">
        <v>0.29097222222222224</v>
      </c>
      <c r="F14" s="2">
        <v>0</v>
      </c>
      <c r="G14" s="55">
        <f t="shared" si="1"/>
        <v>9.5</v>
      </c>
      <c r="I14" s="2">
        <v>15</v>
      </c>
      <c r="J14" s="2">
        <v>0</v>
      </c>
      <c r="L14" s="9" t="s">
        <v>12</v>
      </c>
      <c r="M14" s="10">
        <v>0</v>
      </c>
    </row>
    <row r="15" spans="1:10" ht="12.75">
      <c r="A15" s="2">
        <v>7</v>
      </c>
      <c r="B15" s="42" t="str">
        <f>IF(A15="","",VLOOKUP(A15,Жеребьевка!$A$6:$C$45,2,0))</f>
        <v>Чугунова Ольга Викторовна</v>
      </c>
      <c r="C15" s="2">
        <v>20</v>
      </c>
      <c r="D15" s="6">
        <f t="shared" si="0"/>
        <v>10</v>
      </c>
      <c r="E15" s="4">
        <v>0.19305555555555554</v>
      </c>
      <c r="F15" s="2">
        <v>0</v>
      </c>
      <c r="G15" s="55">
        <f t="shared" si="1"/>
        <v>10</v>
      </c>
      <c r="I15" s="2">
        <v>14</v>
      </c>
      <c r="J15" s="2">
        <v>0</v>
      </c>
    </row>
    <row r="16" spans="1:10" ht="12.75">
      <c r="A16" s="2">
        <v>8</v>
      </c>
      <c r="B16" s="42" t="str">
        <f>IF(A16="","",VLOOKUP(A16,Жеребьевка!$A$6:$C$45,2,0))</f>
        <v>Фомин Владимир Александрович</v>
      </c>
      <c r="C16" s="2">
        <v>20</v>
      </c>
      <c r="D16" s="6">
        <f t="shared" si="0"/>
        <v>10</v>
      </c>
      <c r="E16" s="4">
        <v>0.07152777777777779</v>
      </c>
      <c r="F16" s="2">
        <v>0</v>
      </c>
      <c r="G16" s="55">
        <f t="shared" si="1"/>
        <v>10</v>
      </c>
      <c r="I16" s="2">
        <v>13</v>
      </c>
      <c r="J16" s="2">
        <v>0</v>
      </c>
    </row>
    <row r="17" spans="1:10" ht="12.75">
      <c r="A17" s="2">
        <v>9</v>
      </c>
      <c r="B17" s="42" t="str">
        <f>IF(A17="","",VLOOKUP(A17,Жеребьевка!$A$6:$C$45,2,0))</f>
        <v>Шустров Олег Николаевич</v>
      </c>
      <c r="C17" s="2">
        <v>20</v>
      </c>
      <c r="D17" s="6">
        <f t="shared" si="0"/>
        <v>10</v>
      </c>
      <c r="E17" s="4">
        <v>0.06805555555555555</v>
      </c>
      <c r="F17" s="2">
        <v>0</v>
      </c>
      <c r="G17" s="55">
        <f t="shared" si="1"/>
        <v>10</v>
      </c>
      <c r="I17" s="2">
        <v>12</v>
      </c>
      <c r="J17" s="2">
        <v>0</v>
      </c>
    </row>
    <row r="18" spans="1:10" ht="12.75">
      <c r="A18" s="2">
        <v>10</v>
      </c>
      <c r="B18" s="42" t="str">
        <f>IF(A18="","",VLOOKUP(A18,Жеребьевка!$A$6:$C$45,2,0))</f>
        <v>Логинова Оксана Сергеевна</v>
      </c>
      <c r="C18" s="2">
        <v>19</v>
      </c>
      <c r="D18" s="6">
        <f t="shared" si="0"/>
        <v>9.5</v>
      </c>
      <c r="E18" s="4">
        <v>0.18125</v>
      </c>
      <c r="F18" s="2">
        <v>0</v>
      </c>
      <c r="G18" s="55">
        <f t="shared" si="1"/>
        <v>9.5</v>
      </c>
      <c r="I18" s="2">
        <v>11</v>
      </c>
      <c r="J18" s="2">
        <v>0</v>
      </c>
    </row>
    <row r="19" spans="1:10" ht="12.75">
      <c r="A19" s="2">
        <v>11</v>
      </c>
      <c r="B19" s="42" t="str">
        <f>IF(A19="","",VLOOKUP(A19,Жеребьевка!$A$6:$C$45,2,0))</f>
        <v>Шахворостова Олеся Владимировна</v>
      </c>
      <c r="C19" s="2">
        <v>20</v>
      </c>
      <c r="D19" s="6">
        <f t="shared" si="0"/>
        <v>10</v>
      </c>
      <c r="E19" s="4">
        <v>0.09722222222222222</v>
      </c>
      <c r="F19" s="2">
        <v>0</v>
      </c>
      <c r="G19" s="55">
        <f t="shared" si="1"/>
        <v>10</v>
      </c>
      <c r="I19" s="2">
        <v>10</v>
      </c>
      <c r="J19" s="2">
        <v>0</v>
      </c>
    </row>
    <row r="20" spans="1:10" ht="12.75">
      <c r="A20" s="2">
        <v>12</v>
      </c>
      <c r="B20" s="42" t="str">
        <f>IF(A20="","",VLOOKUP(A20,Жеребьевка!$A$6:$C$45,2,0))</f>
        <v>Бондаренко Станислав Геннадьевич</v>
      </c>
      <c r="C20" s="2">
        <v>19</v>
      </c>
      <c r="D20" s="6">
        <f t="shared" si="0"/>
        <v>9.5</v>
      </c>
      <c r="E20" s="4">
        <v>0.06666666666666667</v>
      </c>
      <c r="F20" s="2">
        <v>0</v>
      </c>
      <c r="G20" s="55">
        <f t="shared" si="1"/>
        <v>9.5</v>
      </c>
      <c r="I20" s="2">
        <v>9</v>
      </c>
      <c r="J20" s="2">
        <v>0</v>
      </c>
    </row>
    <row r="21" spans="1:10" ht="12.75">
      <c r="A21" s="2">
        <v>13</v>
      </c>
      <c r="B21" s="42" t="str">
        <f>IF(A21="","",VLOOKUP(A21,Жеребьевка!$A$6:$C$45,2,0))</f>
        <v>Панкин Алексей Владимирович</v>
      </c>
      <c r="C21" s="2">
        <v>20</v>
      </c>
      <c r="D21" s="6">
        <f t="shared" si="0"/>
        <v>10</v>
      </c>
      <c r="E21" s="4">
        <v>0.041666666666666664</v>
      </c>
      <c r="F21" s="2">
        <v>1.5</v>
      </c>
      <c r="G21" s="55">
        <f t="shared" si="1"/>
        <v>11.5</v>
      </c>
      <c r="I21" s="2">
        <v>8</v>
      </c>
      <c r="J21" s="2">
        <v>0</v>
      </c>
    </row>
    <row r="22" spans="1:10" ht="12.75">
      <c r="A22" s="2">
        <v>14</v>
      </c>
      <c r="B22" s="42" t="str">
        <f>IF(A22="","",VLOOKUP(A22,Жеребьевка!$A$6:$C$45,2,0))</f>
        <v>Скударнов Игорь Сергеевич</v>
      </c>
      <c r="C22" s="2">
        <v>20</v>
      </c>
      <c r="D22" s="6">
        <f t="shared" si="0"/>
        <v>10</v>
      </c>
      <c r="E22" s="4">
        <v>0.2111111111111111</v>
      </c>
      <c r="F22" s="2">
        <v>0</v>
      </c>
      <c r="G22" s="55">
        <f t="shared" si="1"/>
        <v>10</v>
      </c>
      <c r="I22" s="2">
        <v>7</v>
      </c>
      <c r="J22" s="2">
        <v>0</v>
      </c>
    </row>
    <row r="23" spans="1:10" ht="12.75">
      <c r="A23" s="2">
        <v>15</v>
      </c>
      <c r="B23" s="42" t="str">
        <f>IF(A23="","",VLOOKUP(A23,Жеребьевка!$A$6:$C$45,2,0))</f>
        <v>Грабилова Евгения Вячеславовна</v>
      </c>
      <c r="C23" s="2">
        <v>19</v>
      </c>
      <c r="D23" s="6">
        <f t="shared" si="0"/>
        <v>9.5</v>
      </c>
      <c r="E23" s="4">
        <v>0.15555555555555556</v>
      </c>
      <c r="F23" s="2">
        <v>0</v>
      </c>
      <c r="G23" s="55">
        <f t="shared" si="1"/>
        <v>9.5</v>
      </c>
      <c r="I23" s="2">
        <v>6</v>
      </c>
      <c r="J23" s="2">
        <v>0</v>
      </c>
    </row>
    <row r="24" spans="1:10" ht="12.75">
      <c r="A24" s="2">
        <v>16</v>
      </c>
      <c r="B24" s="42" t="str">
        <f>IF(A24="","",VLOOKUP(A24,Жеребьевка!$A$6:$C$45,2,0))</f>
        <v>Поляков Денис Анатольевич</v>
      </c>
      <c r="C24" s="2">
        <v>17</v>
      </c>
      <c r="D24" s="6">
        <f t="shared" si="0"/>
        <v>0</v>
      </c>
      <c r="E24" s="4">
        <v>0.41250000000000003</v>
      </c>
      <c r="F24" s="2">
        <v>0</v>
      </c>
      <c r="G24" s="55">
        <f t="shared" si="1"/>
        <v>0</v>
      </c>
      <c r="I24" s="2">
        <v>5</v>
      </c>
      <c r="J24" s="2">
        <v>0</v>
      </c>
    </row>
    <row r="25" spans="1:10" ht="12.75">
      <c r="A25" s="2">
        <v>17</v>
      </c>
      <c r="B25" s="42" t="str">
        <f>IF(A25="","",VLOOKUP(A25,Жеребьевка!$A$6:$C$45,2,0))</f>
        <v>Ефремов Александр Николаевич</v>
      </c>
      <c r="C25" s="2">
        <v>19</v>
      </c>
      <c r="D25" s="6">
        <f t="shared" si="0"/>
        <v>9.5</v>
      </c>
      <c r="E25" s="4">
        <v>0.17916666666666667</v>
      </c>
      <c r="F25" s="2">
        <v>0</v>
      </c>
      <c r="G25" s="55">
        <f t="shared" si="1"/>
        <v>9.5</v>
      </c>
      <c r="I25" s="2">
        <v>4</v>
      </c>
      <c r="J25" s="2">
        <v>0</v>
      </c>
    </row>
    <row r="26" spans="1:10" ht="12.75">
      <c r="A26" s="2">
        <v>18</v>
      </c>
      <c r="B26" s="42" t="str">
        <f>IF(A26="","",VLOOKUP(A26,Жеребьевка!$A$6:$C$45,2,0))</f>
        <v>Володина Анастасия Александровна</v>
      </c>
      <c r="C26" s="2">
        <v>19</v>
      </c>
      <c r="D26" s="6">
        <f t="shared" si="0"/>
        <v>9.5</v>
      </c>
      <c r="E26" s="4">
        <v>0.14583333333333334</v>
      </c>
      <c r="F26" s="2">
        <v>0</v>
      </c>
      <c r="G26" s="55">
        <f t="shared" si="1"/>
        <v>9.5</v>
      </c>
      <c r="I26" s="2">
        <v>3</v>
      </c>
      <c r="J26" s="2">
        <v>0</v>
      </c>
    </row>
    <row r="27" spans="1:10" ht="12.75">
      <c r="A27" s="2">
        <v>19</v>
      </c>
      <c r="B27" s="42" t="str">
        <f>IF(A27="","",VLOOKUP(A27,Жеребьевка!$A$6:$C$45,2,0))</f>
        <v>Черных Максим Юрьевич</v>
      </c>
      <c r="C27" s="2">
        <v>20</v>
      </c>
      <c r="D27" s="6">
        <f t="shared" si="0"/>
        <v>10</v>
      </c>
      <c r="E27" s="4">
        <v>0.06388888888888888</v>
      </c>
      <c r="F27" s="2">
        <v>0.4</v>
      </c>
      <c r="G27" s="55">
        <f t="shared" si="1"/>
        <v>10.4</v>
      </c>
      <c r="I27" s="2">
        <v>2</v>
      </c>
      <c r="J27" s="2">
        <v>0</v>
      </c>
    </row>
    <row r="28" spans="1:10" ht="12.75">
      <c r="A28" s="2">
        <v>20</v>
      </c>
      <c r="B28" s="42" t="str">
        <f>IF(A28="","",VLOOKUP(A28,Жеребьевка!$A$6:$C$45,2,0))</f>
        <v>Королев Дмитрий Сергеевич</v>
      </c>
      <c r="C28" s="2">
        <v>20</v>
      </c>
      <c r="D28" s="6">
        <f t="shared" si="0"/>
        <v>10</v>
      </c>
      <c r="E28" s="4">
        <v>0.06805555555555555</v>
      </c>
      <c r="F28" s="2">
        <v>0</v>
      </c>
      <c r="G28" s="55">
        <f t="shared" si="1"/>
        <v>10</v>
      </c>
      <c r="I28" s="2">
        <v>1</v>
      </c>
      <c r="J28" s="2">
        <v>0</v>
      </c>
    </row>
    <row r="29" spans="1:10" ht="12.75">
      <c r="A29" s="2">
        <v>21</v>
      </c>
      <c r="B29" s="42" t="str">
        <f>IF(A29="","",VLOOKUP(A29,Жеребьевка!$A$6:$C$45,2,0))</f>
        <v>Сазеев Илья Михайлович</v>
      </c>
      <c r="C29" s="2">
        <v>20</v>
      </c>
      <c r="D29" s="6">
        <f t="shared" si="0"/>
        <v>10</v>
      </c>
      <c r="E29" s="4">
        <v>0.09513888888888888</v>
      </c>
      <c r="F29" s="2">
        <v>0</v>
      </c>
      <c r="G29" s="55">
        <f t="shared" si="1"/>
        <v>10</v>
      </c>
      <c r="I29" s="2">
        <v>0</v>
      </c>
      <c r="J29" s="2">
        <v>0</v>
      </c>
    </row>
    <row r="30" spans="1:10" ht="12.75">
      <c r="A30" s="2">
        <v>22</v>
      </c>
      <c r="B30" s="42" t="str">
        <f>IF(A30="","",VLOOKUP(A30,Жеребьевка!$A$6:$C$45,2,0))</f>
        <v>Кузюк Валентина Павловна</v>
      </c>
      <c r="C30" s="2">
        <v>9</v>
      </c>
      <c r="D30" s="6">
        <f t="shared" si="0"/>
        <v>0</v>
      </c>
      <c r="E30" s="4">
        <v>0.18819444444444444</v>
      </c>
      <c r="F30" s="2">
        <v>0</v>
      </c>
      <c r="G30" s="55">
        <f t="shared" si="1"/>
        <v>0</v>
      </c>
      <c r="I30" s="7"/>
      <c r="J30" s="7"/>
    </row>
    <row r="31" spans="1:10" ht="12.75">
      <c r="A31" s="2">
        <v>23</v>
      </c>
      <c r="B31" s="42" t="str">
        <f>IF(A31="","",VLOOKUP(A31,Жеребьевка!$A$6:$C$45,2,0))</f>
        <v>Глуханюк Михаил Юрьевич</v>
      </c>
      <c r="C31" s="2">
        <v>20</v>
      </c>
      <c r="D31" s="6">
        <f t="shared" si="0"/>
        <v>10</v>
      </c>
      <c r="E31" s="4">
        <v>0.06458333333333334</v>
      </c>
      <c r="F31" s="2">
        <v>0</v>
      </c>
      <c r="G31" s="55">
        <f t="shared" si="1"/>
        <v>10</v>
      </c>
      <c r="I31" s="7"/>
      <c r="J31" s="7"/>
    </row>
    <row r="32" spans="1:10" ht="12.75">
      <c r="A32" s="2">
        <v>24</v>
      </c>
      <c r="B32" s="42" t="str">
        <f>IF(A32="","",VLOOKUP(A32,Жеребьевка!$A$6:$C$45,2,0))</f>
        <v>Лобачёва Анжелика Юрьевна</v>
      </c>
      <c r="C32" s="2">
        <v>20</v>
      </c>
      <c r="D32" s="6">
        <f t="shared" si="0"/>
        <v>10</v>
      </c>
      <c r="E32" s="4">
        <v>0.09513888888888888</v>
      </c>
      <c r="F32" s="2">
        <v>0</v>
      </c>
      <c r="G32" s="55">
        <f t="shared" si="1"/>
        <v>10</v>
      </c>
      <c r="I32" s="7"/>
      <c r="J32" s="7"/>
    </row>
    <row r="33" spans="1:10" ht="12.75">
      <c r="A33" s="2">
        <v>25</v>
      </c>
      <c r="B33" s="42" t="str">
        <f>IF(A33="","",VLOOKUP(A33,Жеребьевка!$A$6:$C$45,2,0))</f>
        <v>Пиженко Анатолий Александрович</v>
      </c>
      <c r="C33" s="2">
        <v>20</v>
      </c>
      <c r="D33" s="6">
        <f t="shared" si="0"/>
        <v>10</v>
      </c>
      <c r="E33" s="4">
        <v>0.04791666666666666</v>
      </c>
      <c r="F33" s="2">
        <v>1</v>
      </c>
      <c r="G33" s="55">
        <f t="shared" si="1"/>
        <v>11</v>
      </c>
      <c r="I33" s="7"/>
      <c r="J33" s="7"/>
    </row>
    <row r="34" spans="1:10" ht="12.75">
      <c r="A34" s="2">
        <v>26</v>
      </c>
      <c r="B34" s="42" t="str">
        <f>IF(A34="","",VLOOKUP(A34,Жеребьевка!$A$6:$C$45,2,0))</f>
        <v>Полещук Юлия Викторовна</v>
      </c>
      <c r="C34" s="2">
        <v>20</v>
      </c>
      <c r="D34" s="6">
        <f t="shared" si="0"/>
        <v>10</v>
      </c>
      <c r="E34" s="4">
        <v>0.07152777777777779</v>
      </c>
      <c r="F34" s="2">
        <v>0</v>
      </c>
      <c r="G34" s="55">
        <f t="shared" si="1"/>
        <v>10</v>
      </c>
      <c r="I34" s="7"/>
      <c r="J34" s="7"/>
    </row>
    <row r="35" spans="1:10" ht="12.75">
      <c r="A35" s="2">
        <v>27</v>
      </c>
      <c r="B35" s="42" t="str">
        <f>IF(A35="","",VLOOKUP(A35,Жеребьевка!$A$6:$C$45,2,0))</f>
        <v>Прохорова Ольга Викторовна</v>
      </c>
      <c r="C35" s="2">
        <v>20</v>
      </c>
      <c r="D35" s="6">
        <f t="shared" si="0"/>
        <v>10</v>
      </c>
      <c r="E35" s="4">
        <v>0.1277777777777778</v>
      </c>
      <c r="F35" s="2">
        <v>0</v>
      </c>
      <c r="G35" s="55">
        <f t="shared" si="1"/>
        <v>10</v>
      </c>
      <c r="I35" s="7"/>
      <c r="J35" s="7"/>
    </row>
    <row r="36" spans="1:10" ht="12.75">
      <c r="A36" s="2">
        <v>28</v>
      </c>
      <c r="B36" s="42" t="str">
        <f>IF(A36="","",VLOOKUP(A36,Жеребьевка!$A$6:$C$45,2,0))</f>
        <v>Филатов Александр Валерьевич</v>
      </c>
      <c r="C36" s="2">
        <v>20</v>
      </c>
      <c r="D36" s="6">
        <f t="shared" si="0"/>
        <v>10</v>
      </c>
      <c r="E36" s="4">
        <v>0.11944444444444445</v>
      </c>
      <c r="F36" s="2">
        <v>0</v>
      </c>
      <c r="G36" s="55">
        <f t="shared" si="1"/>
        <v>10</v>
      </c>
      <c r="I36" s="7"/>
      <c r="J36" s="7"/>
    </row>
    <row r="37" spans="1:10" ht="12.75">
      <c r="A37" s="2">
        <v>29</v>
      </c>
      <c r="B37" s="42" t="str">
        <f>IF(A37="","",VLOOKUP(A37,Жеребьевка!$A$6:$C$45,2,0))</f>
        <v>Шереверов Алексей Юрьевич</v>
      </c>
      <c r="C37" s="2">
        <v>19</v>
      </c>
      <c r="D37" s="6">
        <f t="shared" si="0"/>
        <v>9.5</v>
      </c>
      <c r="E37" s="4">
        <v>0.1173611111111111</v>
      </c>
      <c r="F37" s="2">
        <v>0</v>
      </c>
      <c r="G37" s="55">
        <f t="shared" si="1"/>
        <v>9.5</v>
      </c>
      <c r="I37" s="7"/>
      <c r="J37" s="7"/>
    </row>
    <row r="38" spans="1:10" ht="12.75">
      <c r="A38" s="2">
        <v>30</v>
      </c>
      <c r="B38" s="42" t="str">
        <f>IF(A38="","",VLOOKUP(A38,Жеребьевка!$A$6:$C$45,2,0))</f>
        <v>Дикова Ирина Владимировна</v>
      </c>
      <c r="C38" s="2">
        <v>20</v>
      </c>
      <c r="D38" s="6">
        <f t="shared" si="0"/>
        <v>10</v>
      </c>
      <c r="E38" s="4">
        <v>0.12986111111111112</v>
      </c>
      <c r="F38" s="2">
        <v>0</v>
      </c>
      <c r="G38" s="55">
        <f t="shared" si="1"/>
        <v>10</v>
      </c>
      <c r="I38" s="7"/>
      <c r="J38" s="7"/>
    </row>
    <row r="39" spans="1:10" ht="12.75">
      <c r="A39" s="2">
        <v>31</v>
      </c>
      <c r="B39" s="42" t="str">
        <f>IF(A39="","",VLOOKUP(A39,Жеребьевка!$A$6:$C$45,2,0))</f>
        <v>Демина Кристина Альбертовна</v>
      </c>
      <c r="C39" s="2">
        <v>18</v>
      </c>
      <c r="D39" s="6">
        <f t="shared" si="0"/>
        <v>9</v>
      </c>
      <c r="E39" s="4">
        <v>0.19027777777777777</v>
      </c>
      <c r="F39" s="2">
        <v>0</v>
      </c>
      <c r="G39" s="55">
        <f t="shared" si="1"/>
        <v>9</v>
      </c>
      <c r="I39" s="7"/>
      <c r="J39" s="7"/>
    </row>
    <row r="40" spans="1:10" ht="12.75">
      <c r="A40" s="2">
        <v>32</v>
      </c>
      <c r="B40" s="42" t="str">
        <f>IF(A40="","",VLOOKUP(A40,Жеребьевка!$A$6:$C$45,2,0))</f>
        <v>Долганов Никита Вячеславович</v>
      </c>
      <c r="C40" s="2">
        <v>17</v>
      </c>
      <c r="D40" s="6">
        <f t="shared" si="0"/>
        <v>0</v>
      </c>
      <c r="E40" s="4">
        <v>0.13333333333333333</v>
      </c>
      <c r="F40" s="2">
        <v>0</v>
      </c>
      <c r="G40" s="55">
        <f t="shared" si="1"/>
        <v>0</v>
      </c>
      <c r="I40" s="7"/>
      <c r="J40" s="7"/>
    </row>
    <row r="41" spans="1:10" ht="12.75">
      <c r="A41" s="2">
        <v>33</v>
      </c>
      <c r="B41" s="42" t="str">
        <f>IF(A41="","",VLOOKUP(A41,Жеребьевка!$A$6:$C$45,2,0))</f>
        <v>Панин Сергей Эдуардович</v>
      </c>
      <c r="C41" s="2">
        <v>20</v>
      </c>
      <c r="D41" s="6">
        <f t="shared" si="0"/>
        <v>10</v>
      </c>
      <c r="E41" s="4">
        <v>0.03819444444444444</v>
      </c>
      <c r="F41" s="2">
        <v>2</v>
      </c>
      <c r="G41" s="55">
        <f t="shared" si="1"/>
        <v>12</v>
      </c>
      <c r="I41" s="7"/>
      <c r="J41" s="7"/>
    </row>
    <row r="42" spans="1:10" ht="12.75">
      <c r="A42" s="2">
        <v>34</v>
      </c>
      <c r="B42" s="42" t="str">
        <f>IF(A42="","",VLOOKUP(A42,Жеребьевка!$A$6:$C$45,2,0))</f>
        <v>Шучалова Татьяна Владимировна</v>
      </c>
      <c r="C42" s="2">
        <v>17</v>
      </c>
      <c r="D42" s="6">
        <f t="shared" si="0"/>
        <v>0</v>
      </c>
      <c r="E42" s="4">
        <v>0.1909722222222222</v>
      </c>
      <c r="F42" s="2">
        <v>0</v>
      </c>
      <c r="G42" s="55">
        <f t="shared" si="1"/>
        <v>0</v>
      </c>
      <c r="I42" s="7"/>
      <c r="J42" s="7"/>
    </row>
    <row r="43" spans="1:10" ht="12.75">
      <c r="A43" s="2">
        <v>35</v>
      </c>
      <c r="B43" s="42" t="str">
        <f>IF(A43="","",VLOOKUP(A43,Жеребьевка!$A$6:$C$45,2,0))</f>
        <v>Гнусов Павел Михайлович</v>
      </c>
      <c r="C43" s="2">
        <v>20</v>
      </c>
      <c r="D43" s="6">
        <f t="shared" si="0"/>
        <v>10</v>
      </c>
      <c r="E43" s="4">
        <v>0.125</v>
      </c>
      <c r="F43" s="2">
        <v>0</v>
      </c>
      <c r="G43" s="55">
        <f t="shared" si="1"/>
        <v>10</v>
      </c>
      <c r="I43" s="7"/>
      <c r="J43" s="7"/>
    </row>
    <row r="44" spans="1:10" ht="12.75">
      <c r="A44" s="2">
        <v>36</v>
      </c>
      <c r="B44" s="42" t="str">
        <f>IF(A44="","",VLOOKUP(A44,Жеребьевка!$A$6:$C$45,2,0))</f>
        <v>Гайнутдинова Асия Фаридовна</v>
      </c>
      <c r="C44" s="2">
        <v>20</v>
      </c>
      <c r="D44" s="6">
        <f t="shared" si="0"/>
        <v>10</v>
      </c>
      <c r="E44" s="4">
        <v>0.07361111111111111</v>
      </c>
      <c r="F44" s="2">
        <v>0</v>
      </c>
      <c r="G44" s="55">
        <f t="shared" si="1"/>
        <v>10</v>
      </c>
      <c r="I44" s="7"/>
      <c r="J44" s="7"/>
    </row>
  </sheetData>
  <sheetProtection password="C61B" sheet="1"/>
  <mergeCells count="13">
    <mergeCell ref="L7:L8"/>
    <mergeCell ref="M7:M8"/>
    <mergeCell ref="G7:G8"/>
    <mergeCell ref="A7:A8"/>
    <mergeCell ref="D7:D8"/>
    <mergeCell ref="E7:E8"/>
    <mergeCell ref="F7:F8"/>
    <mergeCell ref="C7:C8"/>
    <mergeCell ref="I7:I8"/>
    <mergeCell ref="A3:G3"/>
    <mergeCell ref="A5:G5"/>
    <mergeCell ref="J7:J8"/>
    <mergeCell ref="B7:B8"/>
  </mergeCells>
  <conditionalFormatting sqref="G9:G44">
    <cfRule type="cellIs" priority="8" dxfId="0" operator="equal" stopIfTrue="1">
      <formula>1</formula>
    </cfRule>
  </conditionalFormatting>
  <printOptions horizontalCentered="1"/>
  <pageMargins left="0.1968503937007874" right="0.15748031496062992" top="0.1968503937007874" bottom="0.1968503937007874" header="0" footer="0"/>
  <pageSetup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45"/>
  <sheetViews>
    <sheetView zoomScalePageLayoutView="0" workbookViewId="0" topLeftCell="A1">
      <selection activeCell="U6" sqref="U6"/>
    </sheetView>
  </sheetViews>
  <sheetFormatPr defaultColWidth="9.140625" defaultRowHeight="15"/>
  <cols>
    <col min="1" max="1" width="4.8515625" style="1" customWidth="1"/>
    <col min="2" max="2" width="42.28125" style="1" customWidth="1"/>
    <col min="3" max="12" width="4.8515625" style="1" customWidth="1"/>
    <col min="13" max="13" width="9.7109375" style="1" customWidth="1"/>
    <col min="14" max="15" width="9.140625" style="1" customWidth="1"/>
    <col min="16" max="16" width="10.7109375" style="1" customWidth="1"/>
    <col min="17" max="17" width="9.140625" style="1" customWidth="1"/>
    <col min="18" max="18" width="13.7109375" style="1" customWidth="1"/>
    <col min="19" max="20" width="9.140625" style="1" customWidth="1"/>
    <col min="21" max="16384" width="9.140625" style="1" customWidth="1"/>
  </cols>
  <sheetData>
    <row r="3" spans="1:16" ht="12.75">
      <c r="A3" s="75" t="s">
        <v>145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5" spans="1:16" ht="12.75">
      <c r="A5" s="76" t="s">
        <v>147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7" spans="1:19" ht="12.75" customHeight="1">
      <c r="A7" s="71" t="s">
        <v>0</v>
      </c>
      <c r="B7" s="72" t="s">
        <v>6</v>
      </c>
      <c r="C7" s="71" t="s">
        <v>13</v>
      </c>
      <c r="D7" s="71"/>
      <c r="E7" s="71"/>
      <c r="F7" s="71"/>
      <c r="G7" s="71"/>
      <c r="H7" s="71"/>
      <c r="I7" s="71"/>
      <c r="J7" s="71"/>
      <c r="K7" s="71"/>
      <c r="L7" s="71"/>
      <c r="M7" s="72" t="s">
        <v>7</v>
      </c>
      <c r="N7" s="79" t="s">
        <v>2</v>
      </c>
      <c r="O7" s="71" t="s">
        <v>4</v>
      </c>
      <c r="P7" s="78" t="s">
        <v>8</v>
      </c>
      <c r="R7" s="81" t="s">
        <v>14</v>
      </c>
      <c r="S7" s="82" t="s">
        <v>1</v>
      </c>
    </row>
    <row r="8" spans="1:19" ht="12.75" customHeight="1">
      <c r="A8" s="71"/>
      <c r="B8" s="80"/>
      <c r="C8" s="71" t="s">
        <v>15</v>
      </c>
      <c r="D8" s="71"/>
      <c r="E8" s="71" t="s">
        <v>16</v>
      </c>
      <c r="F8" s="71"/>
      <c r="G8" s="71" t="s">
        <v>17</v>
      </c>
      <c r="H8" s="71"/>
      <c r="I8" s="71" t="s">
        <v>18</v>
      </c>
      <c r="J8" s="71"/>
      <c r="K8" s="71" t="s">
        <v>19</v>
      </c>
      <c r="L8" s="71"/>
      <c r="M8" s="80"/>
      <c r="N8" s="79"/>
      <c r="O8" s="71"/>
      <c r="P8" s="78"/>
      <c r="R8" s="81"/>
      <c r="S8" s="82"/>
    </row>
    <row r="9" spans="1:19" ht="12.75">
      <c r="A9" s="71"/>
      <c r="B9" s="77"/>
      <c r="C9" s="11" t="s">
        <v>20</v>
      </c>
      <c r="D9" s="12" t="s">
        <v>1</v>
      </c>
      <c r="E9" s="11" t="s">
        <v>20</v>
      </c>
      <c r="F9" s="12" t="s">
        <v>1</v>
      </c>
      <c r="G9" s="11" t="s">
        <v>20</v>
      </c>
      <c r="H9" s="12" t="s">
        <v>1</v>
      </c>
      <c r="I9" s="11" t="s">
        <v>20</v>
      </c>
      <c r="J9" s="12" t="s">
        <v>1</v>
      </c>
      <c r="K9" s="11" t="s">
        <v>20</v>
      </c>
      <c r="L9" s="12" t="s">
        <v>1</v>
      </c>
      <c r="M9" s="77"/>
      <c r="N9" s="79"/>
      <c r="O9" s="71"/>
      <c r="P9" s="78"/>
      <c r="R9" s="81"/>
      <c r="S9" s="82"/>
    </row>
    <row r="10" spans="1:19" ht="12.75">
      <c r="A10" s="2">
        <v>1</v>
      </c>
      <c r="B10" s="44" t="str">
        <f>IF(A10="","",VLOOKUP(A10,Жеребьевка!$A$6:$C$45,2,0))</f>
        <v>Шибин Евгений Владимирович</v>
      </c>
      <c r="C10" s="5">
        <v>0</v>
      </c>
      <c r="D10" s="13">
        <f aca="true" t="shared" si="0" ref="D10:D45">IF(C10="","",VLOOKUP(C10,$R$10:$S$13,2,0))</f>
        <v>0</v>
      </c>
      <c r="E10" s="5">
        <v>0</v>
      </c>
      <c r="F10" s="13">
        <f aca="true" t="shared" si="1" ref="F10:F45">IF(E10="","",VLOOKUP(E10,$R$10:$S$13,2,0))</f>
        <v>0</v>
      </c>
      <c r="G10" s="5">
        <v>1</v>
      </c>
      <c r="H10" s="13">
        <f aca="true" t="shared" si="2" ref="H10:H45">IF(G10="","",VLOOKUP(G10,$R$10:$S$13,2,0))</f>
        <v>0.6</v>
      </c>
      <c r="I10" s="5">
        <v>0</v>
      </c>
      <c r="J10" s="13">
        <f aca="true" t="shared" si="3" ref="J10:J45">IF(I10="","",VLOOKUP(I10,$R$10:$S$13,2,0))</f>
        <v>0</v>
      </c>
      <c r="K10" s="5">
        <v>0</v>
      </c>
      <c r="L10" s="13">
        <f aca="true" t="shared" si="4" ref="L10:L45">IF(K10="","",VLOOKUP(K10,$R$10:$S$13,2,0))</f>
        <v>0</v>
      </c>
      <c r="M10" s="14">
        <f aca="true" t="shared" si="5" ref="M10:M45">D10+F10+H10+J10+L10</f>
        <v>0.6</v>
      </c>
      <c r="N10" s="15">
        <v>0.25</v>
      </c>
      <c r="O10" s="2">
        <v>0</v>
      </c>
      <c r="P10" s="55">
        <f aca="true" t="shared" si="6" ref="P10:P45">M10+O10</f>
        <v>0.6</v>
      </c>
      <c r="R10" s="3">
        <v>0</v>
      </c>
      <c r="S10" s="3">
        <v>0</v>
      </c>
    </row>
    <row r="11" spans="1:19" ht="12.75">
      <c r="A11" s="2">
        <v>2</v>
      </c>
      <c r="B11" s="44" t="str">
        <f>IF(A11="","",VLOOKUP(A11,Жеребьевка!$A$6:$C$45,2,0))</f>
        <v>Мельницын Сергей Владимирович</v>
      </c>
      <c r="C11" s="5">
        <v>0</v>
      </c>
      <c r="D11" s="13">
        <f t="shared" si="0"/>
        <v>0</v>
      </c>
      <c r="E11" s="5">
        <v>0</v>
      </c>
      <c r="F11" s="13">
        <f t="shared" si="1"/>
        <v>0</v>
      </c>
      <c r="G11" s="5">
        <v>0</v>
      </c>
      <c r="H11" s="13">
        <f t="shared" si="2"/>
        <v>0</v>
      </c>
      <c r="I11" s="5">
        <v>0</v>
      </c>
      <c r="J11" s="13">
        <f t="shared" si="3"/>
        <v>0</v>
      </c>
      <c r="K11" s="5">
        <v>0</v>
      </c>
      <c r="L11" s="13">
        <f t="shared" si="4"/>
        <v>0</v>
      </c>
      <c r="M11" s="14">
        <f t="shared" si="5"/>
        <v>0</v>
      </c>
      <c r="N11" s="15">
        <v>0</v>
      </c>
      <c r="O11" s="2">
        <v>0</v>
      </c>
      <c r="P11" s="55">
        <f t="shared" si="6"/>
        <v>0</v>
      </c>
      <c r="R11" s="3">
        <v>1</v>
      </c>
      <c r="S11" s="3">
        <v>0.6</v>
      </c>
    </row>
    <row r="12" spans="1:19" ht="12.75">
      <c r="A12" s="2">
        <v>3</v>
      </c>
      <c r="B12" s="44" t="str">
        <f>IF(A12="","",VLOOKUP(A12,Жеребьевка!$A$6:$C$45,2,0))</f>
        <v>Гайнуллин Рустам Фаритович</v>
      </c>
      <c r="C12" s="5">
        <v>1</v>
      </c>
      <c r="D12" s="13">
        <f t="shared" si="0"/>
        <v>0.6</v>
      </c>
      <c r="E12" s="5">
        <v>0</v>
      </c>
      <c r="F12" s="13">
        <f t="shared" si="1"/>
        <v>0</v>
      </c>
      <c r="G12" s="5">
        <v>1</v>
      </c>
      <c r="H12" s="13">
        <f t="shared" si="2"/>
        <v>0.6</v>
      </c>
      <c r="I12" s="5">
        <v>0</v>
      </c>
      <c r="J12" s="13">
        <f t="shared" si="3"/>
        <v>0</v>
      </c>
      <c r="K12" s="5">
        <v>0</v>
      </c>
      <c r="L12" s="13">
        <f t="shared" si="4"/>
        <v>0</v>
      </c>
      <c r="M12" s="14">
        <f t="shared" si="5"/>
        <v>1.2</v>
      </c>
      <c r="N12" s="15">
        <v>0.13749999999999998</v>
      </c>
      <c r="O12" s="2">
        <v>0</v>
      </c>
      <c r="P12" s="55">
        <f t="shared" si="6"/>
        <v>1.2</v>
      </c>
      <c r="R12" s="3">
        <v>2</v>
      </c>
      <c r="S12" s="3">
        <v>1.4</v>
      </c>
    </row>
    <row r="13" spans="1:19" ht="12.75">
      <c r="A13" s="2">
        <v>4</v>
      </c>
      <c r="B13" s="44" t="str">
        <f>IF(A13="","",VLOOKUP(A13,Жеребьевка!$A$6:$C$45,2,0))</f>
        <v>Мартынов Владимир Михайлович</v>
      </c>
      <c r="C13" s="5">
        <v>0</v>
      </c>
      <c r="D13" s="13">
        <f t="shared" si="0"/>
        <v>0</v>
      </c>
      <c r="E13" s="5">
        <v>0</v>
      </c>
      <c r="F13" s="13">
        <f t="shared" si="1"/>
        <v>0</v>
      </c>
      <c r="G13" s="5">
        <v>2</v>
      </c>
      <c r="H13" s="13">
        <f t="shared" si="2"/>
        <v>1.4</v>
      </c>
      <c r="I13" s="5">
        <v>0</v>
      </c>
      <c r="J13" s="13">
        <f t="shared" si="3"/>
        <v>0</v>
      </c>
      <c r="K13" s="5">
        <v>0</v>
      </c>
      <c r="L13" s="13">
        <f t="shared" si="4"/>
        <v>0</v>
      </c>
      <c r="M13" s="14">
        <f t="shared" si="5"/>
        <v>1.4</v>
      </c>
      <c r="N13" s="15">
        <v>0.12569444444444444</v>
      </c>
      <c r="O13" s="2">
        <v>0</v>
      </c>
      <c r="P13" s="55">
        <f t="shared" si="6"/>
        <v>1.4</v>
      </c>
      <c r="R13" s="3">
        <v>3</v>
      </c>
      <c r="S13" s="3">
        <v>2</v>
      </c>
    </row>
    <row r="14" spans="1:16" ht="12.75">
      <c r="A14" s="2">
        <v>5</v>
      </c>
      <c r="B14" s="44" t="str">
        <f>IF(A14="","",VLOOKUP(A14,Жеребьевка!$A$6:$C$45,2,0))</f>
        <v>Богатырева Оксана Юрьевна</v>
      </c>
      <c r="C14" s="5">
        <v>3</v>
      </c>
      <c r="D14" s="13">
        <f t="shared" si="0"/>
        <v>2</v>
      </c>
      <c r="E14" s="5">
        <v>3</v>
      </c>
      <c r="F14" s="13">
        <f t="shared" si="1"/>
        <v>2</v>
      </c>
      <c r="G14" s="5">
        <v>3</v>
      </c>
      <c r="H14" s="13">
        <f t="shared" si="2"/>
        <v>2</v>
      </c>
      <c r="I14" s="5">
        <v>3</v>
      </c>
      <c r="J14" s="13">
        <f t="shared" si="3"/>
        <v>2</v>
      </c>
      <c r="K14" s="5">
        <v>3</v>
      </c>
      <c r="L14" s="13">
        <f t="shared" si="4"/>
        <v>2</v>
      </c>
      <c r="M14" s="14">
        <f t="shared" si="5"/>
        <v>10</v>
      </c>
      <c r="N14" s="15">
        <v>0.13749999999999998</v>
      </c>
      <c r="O14" s="2">
        <v>0.8</v>
      </c>
      <c r="P14" s="55">
        <f t="shared" si="6"/>
        <v>10.8</v>
      </c>
    </row>
    <row r="15" spans="1:19" ht="12.75">
      <c r="A15" s="2">
        <v>6</v>
      </c>
      <c r="B15" s="44" t="str">
        <f>IF(A15="","",VLOOKUP(A15,Жеребьевка!$A$6:$C$45,2,0))</f>
        <v>Кирова Татьяна Михайловна</v>
      </c>
      <c r="C15" s="5">
        <v>1</v>
      </c>
      <c r="D15" s="13">
        <f t="shared" si="0"/>
        <v>0.6</v>
      </c>
      <c r="E15" s="5">
        <v>2</v>
      </c>
      <c r="F15" s="13">
        <f t="shared" si="1"/>
        <v>1.4</v>
      </c>
      <c r="G15" s="5">
        <v>2</v>
      </c>
      <c r="H15" s="13">
        <f t="shared" si="2"/>
        <v>1.4</v>
      </c>
      <c r="I15" s="5">
        <v>2</v>
      </c>
      <c r="J15" s="13">
        <f t="shared" si="3"/>
        <v>1.4</v>
      </c>
      <c r="K15" s="5">
        <v>0</v>
      </c>
      <c r="L15" s="13">
        <f t="shared" si="4"/>
        <v>0</v>
      </c>
      <c r="M15" s="14">
        <f t="shared" si="5"/>
        <v>4.8</v>
      </c>
      <c r="N15" s="15">
        <v>0.1361111111111111</v>
      </c>
      <c r="O15" s="2">
        <v>0</v>
      </c>
      <c r="P15" s="55">
        <f t="shared" si="6"/>
        <v>4.8</v>
      </c>
      <c r="R15" s="71" t="s">
        <v>10</v>
      </c>
      <c r="S15" s="71" t="s">
        <v>9</v>
      </c>
    </row>
    <row r="16" spans="1:19" ht="12.75">
      <c r="A16" s="2">
        <v>7</v>
      </c>
      <c r="B16" s="44" t="str">
        <f>IF(A16="","",VLOOKUP(A16,Жеребьевка!$A$6:$C$45,2,0))</f>
        <v>Чугунова Ольга Викторовна</v>
      </c>
      <c r="C16" s="5">
        <v>1</v>
      </c>
      <c r="D16" s="13">
        <f t="shared" si="0"/>
        <v>0.6</v>
      </c>
      <c r="E16" s="5">
        <v>2</v>
      </c>
      <c r="F16" s="13">
        <f t="shared" si="1"/>
        <v>1.4</v>
      </c>
      <c r="G16" s="5">
        <v>2</v>
      </c>
      <c r="H16" s="13">
        <f t="shared" si="2"/>
        <v>1.4</v>
      </c>
      <c r="I16" s="5">
        <v>1</v>
      </c>
      <c r="J16" s="13">
        <f t="shared" si="3"/>
        <v>0.6</v>
      </c>
      <c r="K16" s="5">
        <v>0</v>
      </c>
      <c r="L16" s="13">
        <f t="shared" si="4"/>
        <v>0</v>
      </c>
      <c r="M16" s="14">
        <f t="shared" si="5"/>
        <v>4</v>
      </c>
      <c r="N16" s="15">
        <v>0.14652777777777778</v>
      </c>
      <c r="O16" s="2">
        <v>0</v>
      </c>
      <c r="P16" s="55">
        <f t="shared" si="6"/>
        <v>4</v>
      </c>
      <c r="R16" s="74"/>
      <c r="S16" s="74"/>
    </row>
    <row r="17" spans="1:19" ht="12.75">
      <c r="A17" s="2">
        <v>8</v>
      </c>
      <c r="B17" s="44" t="str">
        <f>IF(A17="","",VLOOKUP(A17,Жеребьевка!$A$6:$C$45,2,0))</f>
        <v>Фомин Владимир Александрович</v>
      </c>
      <c r="C17" s="5">
        <v>1</v>
      </c>
      <c r="D17" s="13">
        <f t="shared" si="0"/>
        <v>0.6</v>
      </c>
      <c r="E17" s="5">
        <v>1</v>
      </c>
      <c r="F17" s="13">
        <f t="shared" si="1"/>
        <v>0.6</v>
      </c>
      <c r="G17" s="5">
        <v>3</v>
      </c>
      <c r="H17" s="13">
        <f t="shared" si="2"/>
        <v>2</v>
      </c>
      <c r="I17" s="5">
        <v>0</v>
      </c>
      <c r="J17" s="13">
        <f t="shared" si="3"/>
        <v>0</v>
      </c>
      <c r="K17" s="5">
        <v>0</v>
      </c>
      <c r="L17" s="13">
        <f t="shared" si="4"/>
        <v>0</v>
      </c>
      <c r="M17" s="14">
        <f t="shared" si="5"/>
        <v>3.2</v>
      </c>
      <c r="N17" s="15">
        <v>0.09652777777777777</v>
      </c>
      <c r="O17" s="2">
        <v>0</v>
      </c>
      <c r="P17" s="55">
        <f t="shared" si="6"/>
        <v>3.2</v>
      </c>
      <c r="R17" s="2">
        <v>1</v>
      </c>
      <c r="S17" s="2">
        <v>2</v>
      </c>
    </row>
    <row r="18" spans="1:19" ht="12.75">
      <c r="A18" s="2">
        <v>9</v>
      </c>
      <c r="B18" s="44" t="str">
        <f>IF(A18="","",VLOOKUP(A18,Жеребьевка!$A$6:$C$45,2,0))</f>
        <v>Шустров Олег Николаевич</v>
      </c>
      <c r="C18" s="5">
        <v>3</v>
      </c>
      <c r="D18" s="13">
        <f t="shared" si="0"/>
        <v>2</v>
      </c>
      <c r="E18" s="5">
        <v>2</v>
      </c>
      <c r="F18" s="13">
        <f t="shared" si="1"/>
        <v>1.4</v>
      </c>
      <c r="G18" s="5">
        <v>2</v>
      </c>
      <c r="H18" s="13">
        <f t="shared" si="2"/>
        <v>1.4</v>
      </c>
      <c r="I18" s="5">
        <v>3</v>
      </c>
      <c r="J18" s="13">
        <f t="shared" si="3"/>
        <v>2</v>
      </c>
      <c r="K18" s="5">
        <v>3</v>
      </c>
      <c r="L18" s="13">
        <f t="shared" si="4"/>
        <v>2</v>
      </c>
      <c r="M18" s="14">
        <f t="shared" si="5"/>
        <v>8.8</v>
      </c>
      <c r="N18" s="15">
        <v>0.13402777777777777</v>
      </c>
      <c r="O18" s="2">
        <v>0</v>
      </c>
      <c r="P18" s="55">
        <f t="shared" si="6"/>
        <v>8.8</v>
      </c>
      <c r="R18" s="2">
        <v>2</v>
      </c>
      <c r="S18" s="2">
        <v>1.5</v>
      </c>
    </row>
    <row r="19" spans="1:19" ht="12.75">
      <c r="A19" s="2">
        <v>10</v>
      </c>
      <c r="B19" s="44" t="str">
        <f>IF(A19="","",VLOOKUP(A19,Жеребьевка!$A$6:$C$45,2,0))</f>
        <v>Логинова Оксана Сергеевна</v>
      </c>
      <c r="C19" s="5">
        <v>2</v>
      </c>
      <c r="D19" s="13">
        <f t="shared" si="0"/>
        <v>1.4</v>
      </c>
      <c r="E19" s="5">
        <v>2</v>
      </c>
      <c r="F19" s="13">
        <f t="shared" si="1"/>
        <v>1.4</v>
      </c>
      <c r="G19" s="5">
        <v>2</v>
      </c>
      <c r="H19" s="13">
        <f t="shared" si="2"/>
        <v>1.4</v>
      </c>
      <c r="I19" s="5">
        <v>3</v>
      </c>
      <c r="J19" s="13">
        <f t="shared" si="3"/>
        <v>2</v>
      </c>
      <c r="K19" s="5">
        <v>3</v>
      </c>
      <c r="L19" s="13">
        <f t="shared" si="4"/>
        <v>2</v>
      </c>
      <c r="M19" s="14">
        <f t="shared" si="5"/>
        <v>8.2</v>
      </c>
      <c r="N19" s="15">
        <v>0.14166666666666666</v>
      </c>
      <c r="O19" s="2">
        <v>0</v>
      </c>
      <c r="P19" s="55">
        <f t="shared" si="6"/>
        <v>8.2</v>
      </c>
      <c r="R19" s="2">
        <v>3</v>
      </c>
      <c r="S19" s="2">
        <v>1</v>
      </c>
    </row>
    <row r="20" spans="1:19" ht="12.75">
      <c r="A20" s="2">
        <v>11</v>
      </c>
      <c r="B20" s="44" t="str">
        <f>IF(A20="","",VLOOKUP(A20,Жеребьевка!$A$6:$C$45,2,0))</f>
        <v>Шахворостова Олеся Владимировна</v>
      </c>
      <c r="C20" s="5">
        <v>3</v>
      </c>
      <c r="D20" s="13">
        <f t="shared" si="0"/>
        <v>2</v>
      </c>
      <c r="E20" s="5">
        <v>3</v>
      </c>
      <c r="F20" s="13">
        <f t="shared" si="1"/>
        <v>2</v>
      </c>
      <c r="G20" s="5">
        <v>3</v>
      </c>
      <c r="H20" s="13">
        <f t="shared" si="2"/>
        <v>2</v>
      </c>
      <c r="I20" s="5">
        <v>3</v>
      </c>
      <c r="J20" s="13">
        <f t="shared" si="3"/>
        <v>2</v>
      </c>
      <c r="K20" s="5">
        <v>3</v>
      </c>
      <c r="L20" s="13">
        <f t="shared" si="4"/>
        <v>2</v>
      </c>
      <c r="M20" s="14">
        <f t="shared" si="5"/>
        <v>10</v>
      </c>
      <c r="N20" s="15">
        <v>0.15277777777777776</v>
      </c>
      <c r="O20" s="2">
        <v>0</v>
      </c>
      <c r="P20" s="55">
        <f t="shared" si="6"/>
        <v>10</v>
      </c>
      <c r="R20" s="2">
        <v>4</v>
      </c>
      <c r="S20" s="2">
        <v>0.8</v>
      </c>
    </row>
    <row r="21" spans="1:19" ht="12.75">
      <c r="A21" s="2">
        <v>12</v>
      </c>
      <c r="B21" s="44" t="str">
        <f>IF(A21="","",VLOOKUP(A21,Жеребьевка!$A$6:$C$45,2,0))</f>
        <v>Бондаренко Станислав Геннадьевич</v>
      </c>
      <c r="C21" s="5">
        <v>2</v>
      </c>
      <c r="D21" s="13">
        <f t="shared" si="0"/>
        <v>1.4</v>
      </c>
      <c r="E21" s="5">
        <v>3</v>
      </c>
      <c r="F21" s="13">
        <f t="shared" si="1"/>
        <v>2</v>
      </c>
      <c r="G21" s="5">
        <v>2</v>
      </c>
      <c r="H21" s="13">
        <f t="shared" si="2"/>
        <v>1.4</v>
      </c>
      <c r="I21" s="5">
        <v>2</v>
      </c>
      <c r="J21" s="13">
        <f t="shared" si="3"/>
        <v>1.4</v>
      </c>
      <c r="K21" s="5">
        <v>2</v>
      </c>
      <c r="L21" s="13">
        <f t="shared" si="4"/>
        <v>1.4</v>
      </c>
      <c r="M21" s="14">
        <f t="shared" si="5"/>
        <v>7.6</v>
      </c>
      <c r="N21" s="15">
        <v>0.12916666666666668</v>
      </c>
      <c r="O21" s="2">
        <v>0</v>
      </c>
      <c r="P21" s="55">
        <f t="shared" si="6"/>
        <v>7.6</v>
      </c>
      <c r="R21" s="2">
        <v>5</v>
      </c>
      <c r="S21" s="2">
        <v>0.4</v>
      </c>
    </row>
    <row r="22" spans="1:16" ht="12.75">
      <c r="A22" s="2">
        <v>13</v>
      </c>
      <c r="B22" s="44" t="str">
        <f>IF(A22="","",VLOOKUP(A22,Жеребьевка!$A$6:$C$45,2,0))</f>
        <v>Панкин Алексей Владимирович</v>
      </c>
      <c r="C22" s="5">
        <v>1</v>
      </c>
      <c r="D22" s="13">
        <f t="shared" si="0"/>
        <v>0.6</v>
      </c>
      <c r="E22" s="5">
        <v>1</v>
      </c>
      <c r="F22" s="13">
        <f t="shared" si="1"/>
        <v>0.6</v>
      </c>
      <c r="G22" s="5">
        <v>2</v>
      </c>
      <c r="H22" s="13">
        <f t="shared" si="2"/>
        <v>1.4</v>
      </c>
      <c r="I22" s="5">
        <v>1</v>
      </c>
      <c r="J22" s="13">
        <f t="shared" si="3"/>
        <v>0.6</v>
      </c>
      <c r="K22" s="5">
        <v>0</v>
      </c>
      <c r="L22" s="13">
        <f t="shared" si="4"/>
        <v>0</v>
      </c>
      <c r="M22" s="14">
        <f t="shared" si="5"/>
        <v>3.1999999999999997</v>
      </c>
      <c r="N22" s="15">
        <v>0.125</v>
      </c>
      <c r="O22" s="2">
        <v>0</v>
      </c>
      <c r="P22" s="55">
        <f t="shared" si="6"/>
        <v>3.1999999999999997</v>
      </c>
    </row>
    <row r="23" spans="1:16" ht="12.75">
      <c r="A23" s="2">
        <v>14</v>
      </c>
      <c r="B23" s="44" t="str">
        <f>IF(A23="","",VLOOKUP(A23,Жеребьевка!$A$6:$C$45,2,0))</f>
        <v>Скударнов Игорь Сергеевич</v>
      </c>
      <c r="C23" s="5">
        <v>3</v>
      </c>
      <c r="D23" s="13">
        <f t="shared" si="0"/>
        <v>2</v>
      </c>
      <c r="E23" s="5">
        <v>3</v>
      </c>
      <c r="F23" s="13">
        <f t="shared" si="1"/>
        <v>2</v>
      </c>
      <c r="G23" s="5">
        <v>3</v>
      </c>
      <c r="H23" s="13">
        <f t="shared" si="2"/>
        <v>2</v>
      </c>
      <c r="I23" s="5">
        <v>3</v>
      </c>
      <c r="J23" s="13">
        <f t="shared" si="3"/>
        <v>2</v>
      </c>
      <c r="K23" s="5">
        <v>3</v>
      </c>
      <c r="L23" s="13">
        <f t="shared" si="4"/>
        <v>2</v>
      </c>
      <c r="M23" s="14">
        <f t="shared" si="5"/>
        <v>10</v>
      </c>
      <c r="N23" s="15">
        <v>0.10486111111111111</v>
      </c>
      <c r="O23" s="2">
        <v>2</v>
      </c>
      <c r="P23" s="55">
        <f t="shared" si="6"/>
        <v>12</v>
      </c>
    </row>
    <row r="24" spans="1:16" ht="12.75">
      <c r="A24" s="2">
        <v>15</v>
      </c>
      <c r="B24" s="44" t="str">
        <f>IF(A24="","",VLOOKUP(A24,Жеребьевка!$A$6:$C$45,2,0))</f>
        <v>Грабилова Евгения Вячеславовна</v>
      </c>
      <c r="C24" s="5">
        <v>2</v>
      </c>
      <c r="D24" s="13">
        <f t="shared" si="0"/>
        <v>1.4</v>
      </c>
      <c r="E24" s="5">
        <v>0</v>
      </c>
      <c r="F24" s="13">
        <f t="shared" si="1"/>
        <v>0</v>
      </c>
      <c r="G24" s="5">
        <v>2</v>
      </c>
      <c r="H24" s="13">
        <f t="shared" si="2"/>
        <v>1.4</v>
      </c>
      <c r="I24" s="5">
        <v>3</v>
      </c>
      <c r="J24" s="13">
        <f t="shared" si="3"/>
        <v>2</v>
      </c>
      <c r="K24" s="5">
        <v>2</v>
      </c>
      <c r="L24" s="13">
        <f t="shared" si="4"/>
        <v>1.4</v>
      </c>
      <c r="M24" s="14">
        <f t="shared" si="5"/>
        <v>6.199999999999999</v>
      </c>
      <c r="N24" s="15">
        <v>0.16527777777777777</v>
      </c>
      <c r="O24" s="2">
        <v>0</v>
      </c>
      <c r="P24" s="55">
        <f t="shared" si="6"/>
        <v>6.199999999999999</v>
      </c>
    </row>
    <row r="25" spans="1:19" ht="12.75">
      <c r="A25" s="2">
        <v>16</v>
      </c>
      <c r="B25" s="44" t="str">
        <f>IF(A25="","",VLOOKUP(A25,Жеребьевка!$A$6:$C$45,2,0))</f>
        <v>Поляков Денис Анатольевич</v>
      </c>
      <c r="C25" s="5">
        <v>0</v>
      </c>
      <c r="D25" s="13">
        <f t="shared" si="0"/>
        <v>0</v>
      </c>
      <c r="E25" s="5">
        <v>0</v>
      </c>
      <c r="F25" s="13">
        <f t="shared" si="1"/>
        <v>0</v>
      </c>
      <c r="G25" s="5">
        <v>0</v>
      </c>
      <c r="H25" s="13">
        <f t="shared" si="2"/>
        <v>0</v>
      </c>
      <c r="I25" s="5">
        <v>1</v>
      </c>
      <c r="J25" s="13">
        <f t="shared" si="3"/>
        <v>0.6</v>
      </c>
      <c r="K25" s="5">
        <v>0</v>
      </c>
      <c r="L25" s="13">
        <f t="shared" si="4"/>
        <v>0</v>
      </c>
      <c r="M25" s="14">
        <f t="shared" si="5"/>
        <v>0.6</v>
      </c>
      <c r="N25" s="15">
        <v>0.07430555555555556</v>
      </c>
      <c r="O25" s="2">
        <v>0</v>
      </c>
      <c r="P25" s="55">
        <f t="shared" si="6"/>
        <v>0.6</v>
      </c>
      <c r="R25" s="9" t="s">
        <v>148</v>
      </c>
      <c r="S25" s="10">
        <v>0</v>
      </c>
    </row>
    <row r="26" spans="1:16" ht="12.75">
      <c r="A26" s="2">
        <v>17</v>
      </c>
      <c r="B26" s="44" t="str">
        <f>IF(A26="","",VLOOKUP(A26,Жеребьевка!$A$6:$C$45,2,0))</f>
        <v>Ефремов Александр Николаевич</v>
      </c>
      <c r="C26" s="5">
        <v>2</v>
      </c>
      <c r="D26" s="13">
        <f t="shared" si="0"/>
        <v>1.4</v>
      </c>
      <c r="E26" s="5">
        <v>2</v>
      </c>
      <c r="F26" s="13">
        <f t="shared" si="1"/>
        <v>1.4</v>
      </c>
      <c r="G26" s="5">
        <v>0</v>
      </c>
      <c r="H26" s="13">
        <f t="shared" si="2"/>
        <v>0</v>
      </c>
      <c r="I26" s="5">
        <v>2</v>
      </c>
      <c r="J26" s="13">
        <f t="shared" si="3"/>
        <v>1.4</v>
      </c>
      <c r="K26" s="5">
        <v>3</v>
      </c>
      <c r="L26" s="13">
        <f t="shared" si="4"/>
        <v>2</v>
      </c>
      <c r="M26" s="14">
        <f t="shared" si="5"/>
        <v>6.199999999999999</v>
      </c>
      <c r="N26" s="15">
        <v>0.09166666666666667</v>
      </c>
      <c r="O26" s="2">
        <v>0</v>
      </c>
      <c r="P26" s="55">
        <f t="shared" si="6"/>
        <v>6.199999999999999</v>
      </c>
    </row>
    <row r="27" spans="1:16" ht="12.75">
      <c r="A27" s="2">
        <v>18</v>
      </c>
      <c r="B27" s="44" t="str">
        <f>IF(A27="","",VLOOKUP(A27,Жеребьевка!$A$6:$C$45,2,0))</f>
        <v>Володина Анастасия Александровна</v>
      </c>
      <c r="C27" s="5">
        <v>1</v>
      </c>
      <c r="D27" s="13">
        <f t="shared" si="0"/>
        <v>0.6</v>
      </c>
      <c r="E27" s="5">
        <v>2</v>
      </c>
      <c r="F27" s="13">
        <f t="shared" si="1"/>
        <v>1.4</v>
      </c>
      <c r="G27" s="5">
        <v>3</v>
      </c>
      <c r="H27" s="13">
        <f t="shared" si="2"/>
        <v>2</v>
      </c>
      <c r="I27" s="5">
        <v>1</v>
      </c>
      <c r="J27" s="13">
        <f t="shared" si="3"/>
        <v>0.6</v>
      </c>
      <c r="K27" s="5">
        <v>0</v>
      </c>
      <c r="L27" s="13">
        <f t="shared" si="4"/>
        <v>0</v>
      </c>
      <c r="M27" s="14">
        <f t="shared" si="5"/>
        <v>4.6</v>
      </c>
      <c r="N27" s="15">
        <v>0.24166666666666667</v>
      </c>
      <c r="O27" s="2">
        <v>0</v>
      </c>
      <c r="P27" s="55">
        <f t="shared" si="6"/>
        <v>4.6</v>
      </c>
    </row>
    <row r="28" spans="1:16" ht="12.75">
      <c r="A28" s="2">
        <v>19</v>
      </c>
      <c r="B28" s="44" t="str">
        <f>IF(A28="","",VLOOKUP(A28,Жеребьевка!$A$6:$C$45,2,0))</f>
        <v>Черных Максим Юрьевич</v>
      </c>
      <c r="C28" s="5">
        <v>2</v>
      </c>
      <c r="D28" s="13">
        <f t="shared" si="0"/>
        <v>1.4</v>
      </c>
      <c r="E28" s="5">
        <v>0</v>
      </c>
      <c r="F28" s="13">
        <f t="shared" si="1"/>
        <v>0</v>
      </c>
      <c r="G28" s="5">
        <v>1</v>
      </c>
      <c r="H28" s="13">
        <f t="shared" si="2"/>
        <v>0.6</v>
      </c>
      <c r="I28" s="5">
        <v>2</v>
      </c>
      <c r="J28" s="13">
        <f t="shared" si="3"/>
        <v>1.4</v>
      </c>
      <c r="K28" s="5">
        <v>0</v>
      </c>
      <c r="L28" s="13">
        <f t="shared" si="4"/>
        <v>0</v>
      </c>
      <c r="M28" s="14">
        <f t="shared" si="5"/>
        <v>3.4</v>
      </c>
      <c r="N28" s="15">
        <v>0.12430555555555556</v>
      </c>
      <c r="O28" s="2">
        <v>0</v>
      </c>
      <c r="P28" s="55">
        <f t="shared" si="6"/>
        <v>3.4</v>
      </c>
    </row>
    <row r="29" spans="1:16" ht="12.75">
      <c r="A29" s="2">
        <v>20</v>
      </c>
      <c r="B29" s="44" t="str">
        <f>IF(A29="","",VLOOKUP(A29,Жеребьевка!$A$6:$C$45,2,0))</f>
        <v>Королев Дмитрий Сергеевич</v>
      </c>
      <c r="C29" s="5">
        <v>1</v>
      </c>
      <c r="D29" s="13">
        <f t="shared" si="0"/>
        <v>0.6</v>
      </c>
      <c r="E29" s="5">
        <v>0</v>
      </c>
      <c r="F29" s="13">
        <f t="shared" si="1"/>
        <v>0</v>
      </c>
      <c r="G29" s="5">
        <v>1</v>
      </c>
      <c r="H29" s="13">
        <f t="shared" si="2"/>
        <v>0.6</v>
      </c>
      <c r="I29" s="5">
        <v>0</v>
      </c>
      <c r="J29" s="13">
        <f t="shared" si="3"/>
        <v>0</v>
      </c>
      <c r="K29" s="5">
        <v>3</v>
      </c>
      <c r="L29" s="13">
        <f t="shared" si="4"/>
        <v>2</v>
      </c>
      <c r="M29" s="14">
        <f t="shared" si="5"/>
        <v>3.2</v>
      </c>
      <c r="N29" s="15">
        <v>0.1013888888888889</v>
      </c>
      <c r="O29" s="2">
        <v>0</v>
      </c>
      <c r="P29" s="55">
        <f t="shared" si="6"/>
        <v>3.2</v>
      </c>
    </row>
    <row r="30" spans="1:16" ht="12.75">
      <c r="A30" s="2">
        <v>21</v>
      </c>
      <c r="B30" s="44" t="str">
        <f>IF(A30="","",VLOOKUP(A30,Жеребьевка!$A$6:$C$45,2,0))</f>
        <v>Сазеев Илья Михайлович</v>
      </c>
      <c r="C30" s="5">
        <v>1</v>
      </c>
      <c r="D30" s="13">
        <f t="shared" si="0"/>
        <v>0.6</v>
      </c>
      <c r="E30" s="5">
        <v>0</v>
      </c>
      <c r="F30" s="13">
        <f t="shared" si="1"/>
        <v>0</v>
      </c>
      <c r="G30" s="5">
        <v>1</v>
      </c>
      <c r="H30" s="13">
        <f t="shared" si="2"/>
        <v>0.6</v>
      </c>
      <c r="I30" s="5">
        <v>2</v>
      </c>
      <c r="J30" s="13">
        <f t="shared" si="3"/>
        <v>1.4</v>
      </c>
      <c r="K30" s="5">
        <v>0</v>
      </c>
      <c r="L30" s="13">
        <f t="shared" si="4"/>
        <v>0</v>
      </c>
      <c r="M30" s="14">
        <f t="shared" si="5"/>
        <v>2.5999999999999996</v>
      </c>
      <c r="N30" s="15">
        <v>0.18819444444444444</v>
      </c>
      <c r="O30" s="2">
        <v>0</v>
      </c>
      <c r="P30" s="55">
        <f t="shared" si="6"/>
        <v>2.5999999999999996</v>
      </c>
    </row>
    <row r="31" spans="1:16" ht="12.75">
      <c r="A31" s="2">
        <v>22</v>
      </c>
      <c r="B31" s="44" t="str">
        <f>IF(A31="","",VLOOKUP(A31,Жеребьевка!$A$6:$C$45,2,0))</f>
        <v>Кузюк Валентина Павловна</v>
      </c>
      <c r="C31" s="5">
        <v>0</v>
      </c>
      <c r="D31" s="13">
        <f t="shared" si="0"/>
        <v>0</v>
      </c>
      <c r="E31" s="5">
        <v>0</v>
      </c>
      <c r="F31" s="13">
        <f t="shared" si="1"/>
        <v>0</v>
      </c>
      <c r="G31" s="5">
        <v>1</v>
      </c>
      <c r="H31" s="13">
        <f t="shared" si="2"/>
        <v>0.6</v>
      </c>
      <c r="I31" s="5">
        <v>0</v>
      </c>
      <c r="J31" s="13">
        <f t="shared" si="3"/>
        <v>0</v>
      </c>
      <c r="K31" s="5">
        <v>2</v>
      </c>
      <c r="L31" s="13">
        <f t="shared" si="4"/>
        <v>1.4</v>
      </c>
      <c r="M31" s="14">
        <f t="shared" si="5"/>
        <v>2</v>
      </c>
      <c r="N31" s="15">
        <v>0.10902777777777778</v>
      </c>
      <c r="O31" s="2">
        <v>0</v>
      </c>
      <c r="P31" s="55">
        <f t="shared" si="6"/>
        <v>2</v>
      </c>
    </row>
    <row r="32" spans="1:16" ht="12.75">
      <c r="A32" s="2">
        <v>23</v>
      </c>
      <c r="B32" s="44" t="str">
        <f>IF(A32="","",VLOOKUP(A32,Жеребьевка!$A$6:$C$45,2,0))</f>
        <v>Глуханюк Михаил Юрьевич</v>
      </c>
      <c r="C32" s="5">
        <v>3</v>
      </c>
      <c r="D32" s="13">
        <f t="shared" si="0"/>
        <v>2</v>
      </c>
      <c r="E32" s="5">
        <v>3</v>
      </c>
      <c r="F32" s="13">
        <f t="shared" si="1"/>
        <v>2</v>
      </c>
      <c r="G32" s="5">
        <v>3</v>
      </c>
      <c r="H32" s="13">
        <f t="shared" si="2"/>
        <v>2</v>
      </c>
      <c r="I32" s="5">
        <v>3</v>
      </c>
      <c r="J32" s="13">
        <f t="shared" si="3"/>
        <v>2</v>
      </c>
      <c r="K32" s="5">
        <v>3</v>
      </c>
      <c r="L32" s="13">
        <f t="shared" si="4"/>
        <v>2</v>
      </c>
      <c r="M32" s="14">
        <f t="shared" si="5"/>
        <v>10</v>
      </c>
      <c r="N32" s="15">
        <v>0.16319444444444445</v>
      </c>
      <c r="O32" s="2">
        <v>0</v>
      </c>
      <c r="P32" s="55">
        <f t="shared" si="6"/>
        <v>10</v>
      </c>
    </row>
    <row r="33" spans="1:16" ht="12.75">
      <c r="A33" s="2">
        <v>24</v>
      </c>
      <c r="B33" s="44" t="str">
        <f>IF(A33="","",VLOOKUP(A33,Жеребьевка!$A$6:$C$45,2,0))</f>
        <v>Лобачёва Анжелика Юрьевна</v>
      </c>
      <c r="C33" s="5">
        <v>3</v>
      </c>
      <c r="D33" s="13">
        <f t="shared" si="0"/>
        <v>2</v>
      </c>
      <c r="E33" s="5">
        <v>3</v>
      </c>
      <c r="F33" s="13">
        <f t="shared" si="1"/>
        <v>2</v>
      </c>
      <c r="G33" s="5">
        <v>3</v>
      </c>
      <c r="H33" s="13">
        <f t="shared" si="2"/>
        <v>2</v>
      </c>
      <c r="I33" s="5">
        <v>3</v>
      </c>
      <c r="J33" s="13">
        <f t="shared" si="3"/>
        <v>2</v>
      </c>
      <c r="K33" s="5">
        <v>3</v>
      </c>
      <c r="L33" s="13">
        <f t="shared" si="4"/>
        <v>2</v>
      </c>
      <c r="M33" s="14">
        <f t="shared" si="5"/>
        <v>10</v>
      </c>
      <c r="N33" s="15">
        <v>0.11805555555555557</v>
      </c>
      <c r="O33" s="2">
        <v>1.5</v>
      </c>
      <c r="P33" s="55">
        <f t="shared" si="6"/>
        <v>11.5</v>
      </c>
    </row>
    <row r="34" spans="1:16" ht="12.75">
      <c r="A34" s="2">
        <v>25</v>
      </c>
      <c r="B34" s="44" t="str">
        <f>IF(A34="","",VLOOKUP(A34,Жеребьевка!$A$6:$C$45,2,0))</f>
        <v>Пиженко Анатолий Александрович</v>
      </c>
      <c r="C34" s="5">
        <v>3</v>
      </c>
      <c r="D34" s="13">
        <f t="shared" si="0"/>
        <v>2</v>
      </c>
      <c r="E34" s="5">
        <v>3</v>
      </c>
      <c r="F34" s="13">
        <f t="shared" si="1"/>
        <v>2</v>
      </c>
      <c r="G34" s="5">
        <v>3</v>
      </c>
      <c r="H34" s="13">
        <f t="shared" si="2"/>
        <v>2</v>
      </c>
      <c r="I34" s="5">
        <v>3</v>
      </c>
      <c r="J34" s="13">
        <f t="shared" si="3"/>
        <v>2</v>
      </c>
      <c r="K34" s="5">
        <v>2</v>
      </c>
      <c r="L34" s="13">
        <f t="shared" si="4"/>
        <v>1.4</v>
      </c>
      <c r="M34" s="14">
        <f t="shared" si="5"/>
        <v>9.4</v>
      </c>
      <c r="N34" s="15">
        <v>0.1451388888888889</v>
      </c>
      <c r="O34" s="2">
        <v>0</v>
      </c>
      <c r="P34" s="55">
        <f t="shared" si="6"/>
        <v>9.4</v>
      </c>
    </row>
    <row r="35" spans="1:16" ht="12.75">
      <c r="A35" s="2">
        <v>26</v>
      </c>
      <c r="B35" s="44" t="str">
        <f>IF(A35="","",VLOOKUP(A35,Жеребьевка!$A$6:$C$45,2,0))</f>
        <v>Полещук Юлия Викторовна</v>
      </c>
      <c r="C35" s="5">
        <v>2</v>
      </c>
      <c r="D35" s="13">
        <f t="shared" si="0"/>
        <v>1.4</v>
      </c>
      <c r="E35" s="5">
        <v>0</v>
      </c>
      <c r="F35" s="13">
        <f t="shared" si="1"/>
        <v>0</v>
      </c>
      <c r="G35" s="5">
        <v>2</v>
      </c>
      <c r="H35" s="13">
        <f t="shared" si="2"/>
        <v>1.4</v>
      </c>
      <c r="I35" s="5">
        <v>3</v>
      </c>
      <c r="J35" s="13">
        <f t="shared" si="3"/>
        <v>2</v>
      </c>
      <c r="K35" s="5">
        <v>1</v>
      </c>
      <c r="L35" s="13">
        <f t="shared" si="4"/>
        <v>0.6</v>
      </c>
      <c r="M35" s="14">
        <f t="shared" si="5"/>
        <v>5.3999999999999995</v>
      </c>
      <c r="N35" s="15">
        <v>0.09999999999999999</v>
      </c>
      <c r="O35" s="2">
        <v>0</v>
      </c>
      <c r="P35" s="55">
        <f t="shared" si="6"/>
        <v>5.3999999999999995</v>
      </c>
    </row>
    <row r="36" spans="1:16" ht="12.75">
      <c r="A36" s="2">
        <v>27</v>
      </c>
      <c r="B36" s="44" t="str">
        <f>IF(A36="","",VLOOKUP(A36,Жеребьевка!$A$6:$C$45,2,0))</f>
        <v>Прохорова Ольга Викторовна</v>
      </c>
      <c r="C36" s="5">
        <v>2</v>
      </c>
      <c r="D36" s="13">
        <f t="shared" si="0"/>
        <v>1.4</v>
      </c>
      <c r="E36" s="5">
        <v>1</v>
      </c>
      <c r="F36" s="13">
        <f t="shared" si="1"/>
        <v>0.6</v>
      </c>
      <c r="G36" s="5">
        <v>2</v>
      </c>
      <c r="H36" s="13">
        <f t="shared" si="2"/>
        <v>1.4</v>
      </c>
      <c r="I36" s="5">
        <v>2</v>
      </c>
      <c r="J36" s="13">
        <f t="shared" si="3"/>
        <v>1.4</v>
      </c>
      <c r="K36" s="5">
        <v>2</v>
      </c>
      <c r="L36" s="13">
        <f t="shared" si="4"/>
        <v>1.4</v>
      </c>
      <c r="M36" s="14">
        <f t="shared" si="5"/>
        <v>6.199999999999999</v>
      </c>
      <c r="N36" s="15">
        <v>0.16041666666666668</v>
      </c>
      <c r="O36" s="2">
        <v>0</v>
      </c>
      <c r="P36" s="55">
        <f t="shared" si="6"/>
        <v>6.199999999999999</v>
      </c>
    </row>
    <row r="37" spans="1:16" ht="12.75">
      <c r="A37" s="2">
        <v>28</v>
      </c>
      <c r="B37" s="44" t="str">
        <f>IF(A37="","",VLOOKUP(A37,Жеребьевка!$A$6:$C$45,2,0))</f>
        <v>Филатов Александр Валерьевич</v>
      </c>
      <c r="C37" s="5">
        <v>2</v>
      </c>
      <c r="D37" s="13">
        <f t="shared" si="0"/>
        <v>1.4</v>
      </c>
      <c r="E37" s="5">
        <v>2</v>
      </c>
      <c r="F37" s="13">
        <f t="shared" si="1"/>
        <v>1.4</v>
      </c>
      <c r="G37" s="5">
        <v>1</v>
      </c>
      <c r="H37" s="13">
        <f t="shared" si="2"/>
        <v>0.6</v>
      </c>
      <c r="I37" s="5">
        <v>0</v>
      </c>
      <c r="J37" s="13">
        <f t="shared" si="3"/>
        <v>0</v>
      </c>
      <c r="K37" s="5">
        <v>0</v>
      </c>
      <c r="L37" s="13">
        <f t="shared" si="4"/>
        <v>0</v>
      </c>
      <c r="M37" s="14">
        <f t="shared" si="5"/>
        <v>3.4</v>
      </c>
      <c r="N37" s="15">
        <v>0.13819444444444443</v>
      </c>
      <c r="O37" s="2">
        <v>0</v>
      </c>
      <c r="P37" s="55">
        <f t="shared" si="6"/>
        <v>3.4</v>
      </c>
    </row>
    <row r="38" spans="1:16" ht="12.75">
      <c r="A38" s="2">
        <v>29</v>
      </c>
      <c r="B38" s="44" t="str">
        <f>IF(A38="","",VLOOKUP(A38,Жеребьевка!$A$6:$C$45,2,0))</f>
        <v>Шереверов Алексей Юрьевич</v>
      </c>
      <c r="C38" s="5">
        <v>1</v>
      </c>
      <c r="D38" s="13">
        <f t="shared" si="0"/>
        <v>0.6</v>
      </c>
      <c r="E38" s="5">
        <v>1</v>
      </c>
      <c r="F38" s="13">
        <f t="shared" si="1"/>
        <v>0.6</v>
      </c>
      <c r="G38" s="5">
        <v>0</v>
      </c>
      <c r="H38" s="13">
        <f t="shared" si="2"/>
        <v>0</v>
      </c>
      <c r="I38" s="5">
        <v>0</v>
      </c>
      <c r="J38" s="13">
        <f t="shared" si="3"/>
        <v>0</v>
      </c>
      <c r="K38" s="5">
        <v>1</v>
      </c>
      <c r="L38" s="13">
        <f t="shared" si="4"/>
        <v>0.6</v>
      </c>
      <c r="M38" s="14">
        <f t="shared" si="5"/>
        <v>1.7999999999999998</v>
      </c>
      <c r="N38" s="15">
        <v>0.0763888888888889</v>
      </c>
      <c r="O38" s="2">
        <v>0</v>
      </c>
      <c r="P38" s="55">
        <f t="shared" si="6"/>
        <v>1.7999999999999998</v>
      </c>
    </row>
    <row r="39" spans="1:16" ht="12.75">
      <c r="A39" s="2">
        <v>30</v>
      </c>
      <c r="B39" s="44" t="str">
        <f>IF(A39="","",VLOOKUP(A39,Жеребьевка!$A$6:$C$45,2,0))</f>
        <v>Дикова Ирина Владимировна</v>
      </c>
      <c r="C39" s="5">
        <v>0</v>
      </c>
      <c r="D39" s="13">
        <f t="shared" si="0"/>
        <v>0</v>
      </c>
      <c r="E39" s="5">
        <v>1</v>
      </c>
      <c r="F39" s="13">
        <f t="shared" si="1"/>
        <v>0.6</v>
      </c>
      <c r="G39" s="5">
        <v>2</v>
      </c>
      <c r="H39" s="13">
        <f t="shared" si="2"/>
        <v>1.4</v>
      </c>
      <c r="I39" s="5">
        <v>3</v>
      </c>
      <c r="J39" s="13">
        <f t="shared" si="3"/>
        <v>2</v>
      </c>
      <c r="K39" s="5">
        <v>0</v>
      </c>
      <c r="L39" s="13">
        <f t="shared" si="4"/>
        <v>0</v>
      </c>
      <c r="M39" s="14">
        <f t="shared" si="5"/>
        <v>4</v>
      </c>
      <c r="N39" s="15">
        <v>0.12847222222222224</v>
      </c>
      <c r="O39" s="2">
        <v>0</v>
      </c>
      <c r="P39" s="55">
        <f t="shared" si="6"/>
        <v>4</v>
      </c>
    </row>
    <row r="40" spans="1:16" ht="12.75">
      <c r="A40" s="2">
        <v>31</v>
      </c>
      <c r="B40" s="44" t="str">
        <f>IF(A40="","",VLOOKUP(A40,Жеребьевка!$A$6:$C$45,2,0))</f>
        <v>Демина Кристина Альбертовна</v>
      </c>
      <c r="C40" s="5">
        <v>0</v>
      </c>
      <c r="D40" s="13">
        <f t="shared" si="0"/>
        <v>0</v>
      </c>
      <c r="E40" s="5">
        <v>1</v>
      </c>
      <c r="F40" s="13">
        <f t="shared" si="1"/>
        <v>0.6</v>
      </c>
      <c r="G40" s="5">
        <v>1</v>
      </c>
      <c r="H40" s="13">
        <f t="shared" si="2"/>
        <v>0.6</v>
      </c>
      <c r="I40" s="5">
        <v>0</v>
      </c>
      <c r="J40" s="13">
        <f t="shared" si="3"/>
        <v>0</v>
      </c>
      <c r="K40" s="5">
        <v>0</v>
      </c>
      <c r="L40" s="13">
        <f t="shared" si="4"/>
        <v>0</v>
      </c>
      <c r="M40" s="14">
        <f t="shared" si="5"/>
        <v>1.2</v>
      </c>
      <c r="N40" s="15">
        <v>0.1277777777777778</v>
      </c>
      <c r="O40" s="2">
        <v>0</v>
      </c>
      <c r="P40" s="55">
        <f t="shared" si="6"/>
        <v>1.2</v>
      </c>
    </row>
    <row r="41" spans="1:16" ht="12.75">
      <c r="A41" s="2">
        <v>32</v>
      </c>
      <c r="B41" s="44" t="str">
        <f>IF(A41="","",VLOOKUP(A41,Жеребьевка!$A$6:$C$45,2,0))</f>
        <v>Долганов Никита Вячеславович</v>
      </c>
      <c r="C41" s="5">
        <v>1</v>
      </c>
      <c r="D41" s="13">
        <f t="shared" si="0"/>
        <v>0.6</v>
      </c>
      <c r="E41" s="5">
        <v>1</v>
      </c>
      <c r="F41" s="13">
        <f t="shared" si="1"/>
        <v>0.6</v>
      </c>
      <c r="G41" s="5">
        <v>2</v>
      </c>
      <c r="H41" s="13">
        <f t="shared" si="2"/>
        <v>1.4</v>
      </c>
      <c r="I41" s="5">
        <v>2</v>
      </c>
      <c r="J41" s="13">
        <f t="shared" si="3"/>
        <v>1.4</v>
      </c>
      <c r="K41" s="5">
        <v>0</v>
      </c>
      <c r="L41" s="13">
        <f t="shared" si="4"/>
        <v>0</v>
      </c>
      <c r="M41" s="3">
        <f t="shared" si="5"/>
        <v>3.9999999999999996</v>
      </c>
      <c r="N41" s="4">
        <v>0.125</v>
      </c>
      <c r="O41" s="2">
        <v>0</v>
      </c>
      <c r="P41" s="55">
        <f t="shared" si="6"/>
        <v>3.9999999999999996</v>
      </c>
    </row>
    <row r="42" spans="1:16" ht="12.75">
      <c r="A42" s="2">
        <v>33</v>
      </c>
      <c r="B42" s="44" t="str">
        <f>IF(A42="","",VLOOKUP(A42,Жеребьевка!$A$6:$C$45,2,0))</f>
        <v>Панин Сергей Эдуардович</v>
      </c>
      <c r="C42" s="5">
        <v>3</v>
      </c>
      <c r="D42" s="13">
        <f t="shared" si="0"/>
        <v>2</v>
      </c>
      <c r="E42" s="5">
        <v>3</v>
      </c>
      <c r="F42" s="13">
        <f t="shared" si="1"/>
        <v>2</v>
      </c>
      <c r="G42" s="5">
        <v>3</v>
      </c>
      <c r="H42" s="13">
        <f t="shared" si="2"/>
        <v>2</v>
      </c>
      <c r="I42" s="5">
        <v>3</v>
      </c>
      <c r="J42" s="13">
        <f t="shared" si="3"/>
        <v>2</v>
      </c>
      <c r="K42" s="5">
        <v>3</v>
      </c>
      <c r="L42" s="13">
        <f t="shared" si="4"/>
        <v>2</v>
      </c>
      <c r="M42" s="3">
        <f t="shared" si="5"/>
        <v>10</v>
      </c>
      <c r="N42" s="4">
        <v>0.14166666666666666</v>
      </c>
      <c r="O42" s="2">
        <v>0.4</v>
      </c>
      <c r="P42" s="55">
        <f t="shared" si="6"/>
        <v>10.4</v>
      </c>
    </row>
    <row r="43" spans="1:16" ht="12.75">
      <c r="A43" s="2">
        <v>34</v>
      </c>
      <c r="B43" s="44" t="str">
        <f>IF(A43="","",VLOOKUP(A43,Жеребьевка!$A$6:$C$45,2,0))</f>
        <v>Шучалова Татьяна Владимировна</v>
      </c>
      <c r="C43" s="5">
        <v>0</v>
      </c>
      <c r="D43" s="13">
        <f t="shared" si="0"/>
        <v>0</v>
      </c>
      <c r="E43" s="5">
        <v>0</v>
      </c>
      <c r="F43" s="13">
        <f t="shared" si="1"/>
        <v>0</v>
      </c>
      <c r="G43" s="5">
        <v>0</v>
      </c>
      <c r="H43" s="13">
        <f t="shared" si="2"/>
        <v>0</v>
      </c>
      <c r="I43" s="5">
        <v>2</v>
      </c>
      <c r="J43" s="13">
        <f t="shared" si="3"/>
        <v>1.4</v>
      </c>
      <c r="K43" s="5">
        <v>0</v>
      </c>
      <c r="L43" s="13">
        <f t="shared" si="4"/>
        <v>0</v>
      </c>
      <c r="M43" s="3">
        <f t="shared" si="5"/>
        <v>1.4</v>
      </c>
      <c r="N43" s="4">
        <v>0.05347222222222222</v>
      </c>
      <c r="O43" s="2">
        <v>0</v>
      </c>
      <c r="P43" s="55">
        <f t="shared" si="6"/>
        <v>1.4</v>
      </c>
    </row>
    <row r="44" spans="1:16" ht="12.75">
      <c r="A44" s="2">
        <v>35</v>
      </c>
      <c r="B44" s="44" t="str">
        <f>IF(A44="","",VLOOKUP(A44,Жеребьевка!$A$6:$C$45,2,0))</f>
        <v>Гнусов Павел Михайлович</v>
      </c>
      <c r="C44" s="5">
        <v>3</v>
      </c>
      <c r="D44" s="13">
        <f t="shared" si="0"/>
        <v>2</v>
      </c>
      <c r="E44" s="5">
        <v>3</v>
      </c>
      <c r="F44" s="13">
        <f t="shared" si="1"/>
        <v>2</v>
      </c>
      <c r="G44" s="5">
        <v>3</v>
      </c>
      <c r="H44" s="13">
        <f t="shared" si="2"/>
        <v>2</v>
      </c>
      <c r="I44" s="5">
        <v>3</v>
      </c>
      <c r="J44" s="13">
        <f t="shared" si="3"/>
        <v>2</v>
      </c>
      <c r="K44" s="5">
        <v>3</v>
      </c>
      <c r="L44" s="13">
        <f t="shared" si="4"/>
        <v>2</v>
      </c>
      <c r="M44" s="3">
        <f t="shared" si="5"/>
        <v>10</v>
      </c>
      <c r="N44" s="4">
        <v>0.1361111111111111</v>
      </c>
      <c r="O44" s="2">
        <v>1</v>
      </c>
      <c r="P44" s="55">
        <f t="shared" si="6"/>
        <v>11</v>
      </c>
    </row>
    <row r="45" spans="1:16" ht="12.75">
      <c r="A45" s="2">
        <v>36</v>
      </c>
      <c r="B45" s="44" t="str">
        <f>IF(A45="","",VLOOKUP(A45,Жеребьевка!$A$6:$C$45,2,0))</f>
        <v>Гайнутдинова Асия Фаридовна</v>
      </c>
      <c r="C45" s="5">
        <v>3</v>
      </c>
      <c r="D45" s="13">
        <f t="shared" si="0"/>
        <v>2</v>
      </c>
      <c r="E45" s="5">
        <v>3</v>
      </c>
      <c r="F45" s="13">
        <f t="shared" si="1"/>
        <v>2</v>
      </c>
      <c r="G45" s="5">
        <v>3</v>
      </c>
      <c r="H45" s="13">
        <f t="shared" si="2"/>
        <v>2</v>
      </c>
      <c r="I45" s="5">
        <v>3</v>
      </c>
      <c r="J45" s="13">
        <f t="shared" si="3"/>
        <v>2</v>
      </c>
      <c r="K45" s="5">
        <v>3</v>
      </c>
      <c r="L45" s="13">
        <f t="shared" si="4"/>
        <v>2</v>
      </c>
      <c r="M45" s="3">
        <f t="shared" si="5"/>
        <v>10</v>
      </c>
      <c r="N45" s="4">
        <v>0.1763888888888889</v>
      </c>
      <c r="O45" s="2">
        <v>0</v>
      </c>
      <c r="P45" s="55">
        <f t="shared" si="6"/>
        <v>10</v>
      </c>
    </row>
  </sheetData>
  <sheetProtection password="C61B" sheet="1" formatCells="0" formatColumns="0" formatRows="0" sort="0"/>
  <mergeCells count="18">
    <mergeCell ref="R15:R16"/>
    <mergeCell ref="S15:S16"/>
    <mergeCell ref="R7:R9"/>
    <mergeCell ref="S7:S9"/>
    <mergeCell ref="C8:D8"/>
    <mergeCell ref="E8:F8"/>
    <mergeCell ref="G8:H8"/>
    <mergeCell ref="I8:J8"/>
    <mergeCell ref="K8:L8"/>
    <mergeCell ref="A5:P5"/>
    <mergeCell ref="A3:P3"/>
    <mergeCell ref="B7:B9"/>
    <mergeCell ref="A7:A9"/>
    <mergeCell ref="C7:L7"/>
    <mergeCell ref="M7:M9"/>
    <mergeCell ref="N7:N9"/>
    <mergeCell ref="O7:O9"/>
    <mergeCell ref="P7:P9"/>
  </mergeCells>
  <printOptions horizontalCentered="1"/>
  <pageMargins left="0.35433070866141736" right="0.15748031496062992" top="0.1968503937007874" bottom="0.1968503937007874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4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4.8515625" style="1" customWidth="1"/>
    <col min="2" max="2" width="33.57421875" style="1" customWidth="1"/>
    <col min="3" max="6" width="9.140625" style="1" customWidth="1"/>
    <col min="7" max="7" width="10.28125" style="1" bestFit="1" customWidth="1"/>
    <col min="8" max="8" width="9.140625" style="1" customWidth="1"/>
    <col min="9" max="9" width="13.8515625" style="1" customWidth="1"/>
    <col min="10" max="16384" width="9.140625" style="1" customWidth="1"/>
  </cols>
  <sheetData>
    <row r="3" spans="1:16" ht="12.75">
      <c r="A3" s="75" t="s">
        <v>145</v>
      </c>
      <c r="B3" s="75"/>
      <c r="C3" s="75"/>
      <c r="D3" s="75"/>
      <c r="E3" s="75"/>
      <c r="F3" s="75"/>
      <c r="G3" s="75"/>
      <c r="H3" s="8"/>
      <c r="I3" s="8"/>
      <c r="J3" s="8"/>
      <c r="K3" s="8"/>
      <c r="L3" s="8"/>
      <c r="M3" s="8"/>
      <c r="N3" s="8"/>
      <c r="O3" s="8"/>
      <c r="P3" s="8"/>
    </row>
    <row r="5" spans="1:16" ht="12.75">
      <c r="A5" s="76" t="s">
        <v>149</v>
      </c>
      <c r="B5" s="76"/>
      <c r="C5" s="76"/>
      <c r="D5" s="76"/>
      <c r="E5" s="76"/>
      <c r="F5" s="76"/>
      <c r="G5" s="76"/>
      <c r="H5" s="43"/>
      <c r="I5" s="43"/>
      <c r="J5" s="43"/>
      <c r="K5" s="43"/>
      <c r="L5" s="43"/>
      <c r="M5" s="43"/>
      <c r="N5" s="43"/>
      <c r="O5" s="43"/>
      <c r="P5" s="43"/>
    </row>
    <row r="7" spans="1:10" ht="12.75" customHeight="1">
      <c r="A7" s="71" t="s">
        <v>0</v>
      </c>
      <c r="B7" s="72" t="s">
        <v>6</v>
      </c>
      <c r="C7" s="83" t="s">
        <v>21</v>
      </c>
      <c r="D7" s="79" t="s">
        <v>7</v>
      </c>
      <c r="E7" s="79" t="s">
        <v>2</v>
      </c>
      <c r="F7" s="71" t="s">
        <v>4</v>
      </c>
      <c r="G7" s="78" t="s">
        <v>8</v>
      </c>
      <c r="I7" s="83" t="s">
        <v>22</v>
      </c>
      <c r="J7" s="72" t="s">
        <v>9</v>
      </c>
    </row>
    <row r="8" spans="1:10" ht="12.75">
      <c r="A8" s="71"/>
      <c r="B8" s="77"/>
      <c r="C8" s="84"/>
      <c r="D8" s="79"/>
      <c r="E8" s="79"/>
      <c r="F8" s="71"/>
      <c r="G8" s="78"/>
      <c r="I8" s="77"/>
      <c r="J8" s="77"/>
    </row>
    <row r="9" spans="1:10" ht="14.25" customHeight="1">
      <c r="A9" s="2">
        <v>1</v>
      </c>
      <c r="B9" s="54" t="str">
        <f>IF(A9="","",VLOOKUP(A9,Жеребьевка!$A$6:$C$45,2,0))</f>
        <v>Шибин Евгений Владимирович</v>
      </c>
      <c r="C9" s="2">
        <v>71</v>
      </c>
      <c r="D9" s="6">
        <f aca="true" t="shared" si="0" ref="D9:D44">C9*0.2</f>
        <v>14.200000000000001</v>
      </c>
      <c r="E9" s="4">
        <v>0.2555555555555556</v>
      </c>
      <c r="F9" s="2">
        <v>0</v>
      </c>
      <c r="G9" s="55">
        <f>D9+F9</f>
        <v>14.200000000000001</v>
      </c>
      <c r="I9" s="2">
        <v>1</v>
      </c>
      <c r="J9" s="2">
        <v>2</v>
      </c>
    </row>
    <row r="10" spans="1:10" ht="14.25" customHeight="1">
      <c r="A10" s="2">
        <v>2</v>
      </c>
      <c r="B10" s="54" t="str">
        <f>IF(A10="","",VLOOKUP(A10,Жеребьевка!$A$6:$C$45,2,0))</f>
        <v>Мельницын Сергей Владимирович</v>
      </c>
      <c r="C10" s="2">
        <v>111</v>
      </c>
      <c r="D10" s="6">
        <f t="shared" si="0"/>
        <v>22.200000000000003</v>
      </c>
      <c r="E10" s="4">
        <v>0.2625</v>
      </c>
      <c r="F10" s="2">
        <v>0</v>
      </c>
      <c r="G10" s="55">
        <f>D10+F10</f>
        <v>22.200000000000003</v>
      </c>
      <c r="I10" s="2">
        <v>2</v>
      </c>
      <c r="J10" s="2">
        <v>1.5</v>
      </c>
    </row>
    <row r="11" spans="1:10" ht="14.25" customHeight="1">
      <c r="A11" s="2">
        <v>3</v>
      </c>
      <c r="B11" s="54" t="str">
        <f>IF(A11="","",VLOOKUP(A11,Жеребьевка!$A$6:$C$45,2,0))</f>
        <v>Гайнуллин Рустам Фаритович</v>
      </c>
      <c r="C11" s="2">
        <v>93</v>
      </c>
      <c r="D11" s="6">
        <f t="shared" si="0"/>
        <v>18.6</v>
      </c>
      <c r="E11" s="4">
        <v>0.23055555555555554</v>
      </c>
      <c r="F11" s="2">
        <v>0</v>
      </c>
      <c r="G11" s="55">
        <f>D11+F11</f>
        <v>18.6</v>
      </c>
      <c r="I11" s="2">
        <v>3</v>
      </c>
      <c r="J11" s="2">
        <v>1</v>
      </c>
    </row>
    <row r="12" spans="1:10" ht="14.25" customHeight="1">
      <c r="A12" s="2">
        <v>4</v>
      </c>
      <c r="B12" s="54" t="str">
        <f>IF(A12="","",VLOOKUP(A12,Жеребьевка!$A$6:$C$45,2,0))</f>
        <v>Мартынов Владимир Михайлович</v>
      </c>
      <c r="C12" s="2">
        <v>61</v>
      </c>
      <c r="D12" s="6">
        <f t="shared" si="0"/>
        <v>12.200000000000001</v>
      </c>
      <c r="E12" s="4">
        <v>0.29305555555555557</v>
      </c>
      <c r="F12" s="2">
        <v>0</v>
      </c>
      <c r="G12" s="55">
        <v>0</v>
      </c>
      <c r="I12" s="2">
        <v>4</v>
      </c>
      <c r="J12" s="2">
        <v>0.8</v>
      </c>
    </row>
    <row r="13" spans="1:10" ht="14.25" customHeight="1">
      <c r="A13" s="2">
        <v>5</v>
      </c>
      <c r="B13" s="54" t="str">
        <f>IF(A13="","",VLOOKUP(A13,Жеребьевка!$A$6:$C$45,2,0))</f>
        <v>Богатырева Оксана Юрьевна</v>
      </c>
      <c r="C13" s="2">
        <v>105</v>
      </c>
      <c r="D13" s="6">
        <f t="shared" si="0"/>
        <v>21</v>
      </c>
      <c r="E13" s="4">
        <v>0.25277777777777777</v>
      </c>
      <c r="F13" s="2">
        <v>0</v>
      </c>
      <c r="G13" s="55">
        <f>D13+F13</f>
        <v>21</v>
      </c>
      <c r="I13" s="2">
        <v>5</v>
      </c>
      <c r="J13" s="2">
        <v>0.4</v>
      </c>
    </row>
    <row r="14" spans="1:7" ht="14.25" customHeight="1">
      <c r="A14" s="2">
        <v>6</v>
      </c>
      <c r="B14" s="54" t="str">
        <f>IF(A14="","",VLOOKUP(A14,Жеребьевка!$A$6:$C$45,2,0))</f>
        <v>Кирова Татьяна Михайловна</v>
      </c>
      <c r="C14" s="2">
        <v>74</v>
      </c>
      <c r="D14" s="6">
        <f t="shared" si="0"/>
        <v>14.8</v>
      </c>
      <c r="E14" s="4">
        <v>0.24722222222222223</v>
      </c>
      <c r="F14" s="2">
        <v>0</v>
      </c>
      <c r="G14" s="39">
        <f>D14+F14</f>
        <v>14.8</v>
      </c>
    </row>
    <row r="15" spans="1:7" ht="14.25" customHeight="1">
      <c r="A15" s="2">
        <v>7</v>
      </c>
      <c r="B15" s="54" t="str">
        <f>IF(A15="","",VLOOKUP(A15,Жеребьевка!$A$6:$C$45,2,0))</f>
        <v>Чугунова Ольга Викторовна</v>
      </c>
      <c r="C15" s="34">
        <v>92</v>
      </c>
      <c r="D15" s="49">
        <f t="shared" si="0"/>
        <v>18.400000000000002</v>
      </c>
      <c r="E15" s="15">
        <v>0.2673611111111111</v>
      </c>
      <c r="F15" s="2">
        <v>0</v>
      </c>
      <c r="G15" s="39">
        <f>D15+F15</f>
        <v>18.400000000000002</v>
      </c>
    </row>
    <row r="16" spans="1:10" ht="14.25" customHeight="1">
      <c r="A16" s="2">
        <v>8</v>
      </c>
      <c r="B16" s="54" t="str">
        <f>IF(A16="","",VLOOKUP(A16,Жеребьевка!$A$6:$C$45,2,0))</f>
        <v>Фомин Владимир Александрович</v>
      </c>
      <c r="C16" s="2">
        <v>94</v>
      </c>
      <c r="D16" s="6">
        <f t="shared" si="0"/>
        <v>18.8</v>
      </c>
      <c r="E16" s="4">
        <v>0.27638888888888885</v>
      </c>
      <c r="F16" s="2">
        <v>0</v>
      </c>
      <c r="G16" s="55">
        <f>D16+F16</f>
        <v>18.8</v>
      </c>
      <c r="I16" s="16" t="s">
        <v>23</v>
      </c>
      <c r="J16" s="17"/>
    </row>
    <row r="17" spans="1:10" ht="14.25" customHeight="1">
      <c r="A17" s="2">
        <v>9</v>
      </c>
      <c r="B17" s="54" t="str">
        <f>IF(A17="","",VLOOKUP(A17,Жеребьевка!$A$6:$C$45,2,0))</f>
        <v>Шустров Олег Николаевич</v>
      </c>
      <c r="C17" s="34">
        <v>107</v>
      </c>
      <c r="D17" s="49">
        <f t="shared" si="0"/>
        <v>21.400000000000002</v>
      </c>
      <c r="E17" s="15">
        <v>0.2923611111111111</v>
      </c>
      <c r="F17" s="2">
        <v>0</v>
      </c>
      <c r="G17" s="55">
        <v>0</v>
      </c>
      <c r="I17" s="16" t="s">
        <v>24</v>
      </c>
      <c r="J17" s="17">
        <v>0</v>
      </c>
    </row>
    <row r="18" spans="1:7" ht="14.25" customHeight="1">
      <c r="A18" s="2">
        <v>10</v>
      </c>
      <c r="B18" s="54" t="str">
        <f>IF(A18="","",VLOOKUP(A18,Жеребьевка!$A$6:$C$45,2,0))</f>
        <v>Логинова Оксана Сергеевна</v>
      </c>
      <c r="C18" s="2">
        <v>111</v>
      </c>
      <c r="D18" s="6">
        <f t="shared" si="0"/>
        <v>22.200000000000003</v>
      </c>
      <c r="E18" s="4">
        <v>0.24930555555555556</v>
      </c>
      <c r="F18" s="2">
        <v>0</v>
      </c>
      <c r="G18" s="55">
        <f>D18+F18</f>
        <v>22.200000000000003</v>
      </c>
    </row>
    <row r="19" spans="1:7" ht="14.25" customHeight="1">
      <c r="A19" s="2">
        <v>11</v>
      </c>
      <c r="B19" s="54" t="str">
        <f>IF(A19="","",VLOOKUP(A19,Жеребьевка!$A$6:$C$45,2,0))</f>
        <v>Шахворостова Олеся Владимировна</v>
      </c>
      <c r="C19" s="2">
        <v>114</v>
      </c>
      <c r="D19" s="6">
        <f t="shared" si="0"/>
        <v>22.8</v>
      </c>
      <c r="E19" s="4">
        <v>0.23611111111111113</v>
      </c>
      <c r="F19" s="2">
        <v>1.5</v>
      </c>
      <c r="G19" s="55">
        <f>D19+F19</f>
        <v>24.3</v>
      </c>
    </row>
    <row r="20" spans="1:10" ht="14.25" customHeight="1">
      <c r="A20" s="2">
        <v>12</v>
      </c>
      <c r="B20" s="54" t="str">
        <f>IF(A20="","",VLOOKUP(A20,Жеребьевка!$A$6:$C$45,2,0))</f>
        <v>Бондаренко Станислав Геннадьевич</v>
      </c>
      <c r="C20" s="34">
        <v>76</v>
      </c>
      <c r="D20" s="49">
        <f t="shared" si="0"/>
        <v>15.200000000000001</v>
      </c>
      <c r="E20" s="15">
        <v>0.2923611111111111</v>
      </c>
      <c r="F20" s="2">
        <v>0</v>
      </c>
      <c r="G20" s="55">
        <v>0</v>
      </c>
      <c r="I20" s="7"/>
      <c r="J20" s="7"/>
    </row>
    <row r="21" spans="1:10" ht="14.25" customHeight="1">
      <c r="A21" s="2">
        <v>13</v>
      </c>
      <c r="B21" s="54" t="str">
        <f>IF(A21="","",VLOOKUP(A21,Жеребьевка!$A$6:$C$45,2,0))</f>
        <v>Панкин Алексей Владимирович</v>
      </c>
      <c r="C21" s="2">
        <v>85</v>
      </c>
      <c r="D21" s="6">
        <f t="shared" si="0"/>
        <v>17</v>
      </c>
      <c r="E21" s="4">
        <v>0.2722222222222222</v>
      </c>
      <c r="F21" s="2">
        <v>0</v>
      </c>
      <c r="G21" s="55">
        <f>D21+F21</f>
        <v>17</v>
      </c>
      <c r="I21" s="7"/>
      <c r="J21" s="7"/>
    </row>
    <row r="22" spans="1:10" ht="14.25" customHeight="1">
      <c r="A22" s="2">
        <v>14</v>
      </c>
      <c r="B22" s="54" t="str">
        <f>IF(A22="","",VLOOKUP(A22,Жеребьевка!$A$6:$C$45,2,0))</f>
        <v>Скударнов Игорь Сергеевич</v>
      </c>
      <c r="C22" s="2">
        <v>111</v>
      </c>
      <c r="D22" s="6">
        <f t="shared" si="0"/>
        <v>22.200000000000003</v>
      </c>
      <c r="E22" s="4">
        <v>0.23194444444444443</v>
      </c>
      <c r="F22" s="2">
        <v>0</v>
      </c>
      <c r="G22" s="55">
        <f>D22+F22</f>
        <v>22.200000000000003</v>
      </c>
      <c r="I22" s="7"/>
      <c r="J22" s="7"/>
    </row>
    <row r="23" spans="1:10" ht="14.25" customHeight="1">
      <c r="A23" s="2">
        <v>15</v>
      </c>
      <c r="B23" s="54" t="str">
        <f>IF(A23="","",VLOOKUP(A23,Жеребьевка!$A$6:$C$45,2,0))</f>
        <v>Грабилова Евгения Вячеславовна</v>
      </c>
      <c r="C23" s="34">
        <v>99</v>
      </c>
      <c r="D23" s="49">
        <f t="shared" si="0"/>
        <v>19.8</v>
      </c>
      <c r="E23" s="15">
        <v>0.2625</v>
      </c>
      <c r="F23" s="2">
        <v>0</v>
      </c>
      <c r="G23" s="55">
        <v>0</v>
      </c>
      <c r="I23" s="7"/>
      <c r="J23" s="7"/>
    </row>
    <row r="24" spans="1:10" ht="14.25" customHeight="1">
      <c r="A24" s="2">
        <v>16</v>
      </c>
      <c r="B24" s="54" t="str">
        <f>IF(A24="","",VLOOKUP(A24,Жеребьевка!$A$6:$C$45,2,0))</f>
        <v>Поляков Денис Анатольевич</v>
      </c>
      <c r="C24" s="2">
        <v>7</v>
      </c>
      <c r="D24" s="6">
        <f t="shared" si="0"/>
        <v>1.4000000000000001</v>
      </c>
      <c r="E24" s="4">
        <v>0.08055555555555556</v>
      </c>
      <c r="F24" s="2">
        <v>0</v>
      </c>
      <c r="G24" s="55">
        <v>0</v>
      </c>
      <c r="I24" s="7"/>
      <c r="J24" s="7"/>
    </row>
    <row r="25" spans="1:10" ht="14.25" customHeight="1">
      <c r="A25" s="2">
        <v>17</v>
      </c>
      <c r="B25" s="54" t="str">
        <f>IF(A25="","",VLOOKUP(A25,Жеребьевка!$A$6:$C$45,2,0))</f>
        <v>Ефремов Александр Николаевич</v>
      </c>
      <c r="C25" s="34">
        <v>83</v>
      </c>
      <c r="D25" s="49">
        <f t="shared" si="0"/>
        <v>16.6</v>
      </c>
      <c r="E25" s="15">
        <v>0.26805555555555555</v>
      </c>
      <c r="F25" s="2">
        <v>0</v>
      </c>
      <c r="G25" s="55">
        <f>D25+F25</f>
        <v>16.6</v>
      </c>
      <c r="I25" s="7"/>
      <c r="J25" s="7"/>
    </row>
    <row r="26" spans="1:10" ht="14.25" customHeight="1">
      <c r="A26" s="2">
        <v>18</v>
      </c>
      <c r="B26" s="54" t="str">
        <f>IF(A26="","",VLOOKUP(A26,Жеребьевка!$A$6:$C$45,2,0))</f>
        <v>Володина Анастасия Александровна</v>
      </c>
      <c r="C26" s="34">
        <v>81</v>
      </c>
      <c r="D26" s="49">
        <f t="shared" si="0"/>
        <v>16.2</v>
      </c>
      <c r="E26" s="15">
        <v>0.2923611111111111</v>
      </c>
      <c r="F26" s="2">
        <v>0</v>
      </c>
      <c r="G26" s="55">
        <v>0</v>
      </c>
      <c r="I26" s="7"/>
      <c r="J26" s="7"/>
    </row>
    <row r="27" spans="1:10" ht="14.25" customHeight="1">
      <c r="A27" s="2">
        <v>19</v>
      </c>
      <c r="B27" s="54" t="str">
        <f>IF(A27="","",VLOOKUP(A27,Жеребьевка!$A$6:$C$45,2,0))</f>
        <v>Черных Максим Юрьевич</v>
      </c>
      <c r="C27" s="2">
        <v>67</v>
      </c>
      <c r="D27" s="6">
        <f t="shared" si="0"/>
        <v>13.4</v>
      </c>
      <c r="E27" s="53">
        <v>0.2923611111111111</v>
      </c>
      <c r="F27" s="2">
        <v>0</v>
      </c>
      <c r="G27" s="55">
        <v>0</v>
      </c>
      <c r="I27" s="7"/>
      <c r="J27" s="7"/>
    </row>
    <row r="28" spans="1:10" ht="14.25" customHeight="1">
      <c r="A28" s="2">
        <v>20</v>
      </c>
      <c r="B28" s="54" t="str">
        <f>IF(A28="","",VLOOKUP(A28,Жеребьевка!$A$6:$C$45,2,0))</f>
        <v>Королев Дмитрий Сергеевич</v>
      </c>
      <c r="C28" s="2">
        <v>108</v>
      </c>
      <c r="D28" s="6">
        <f t="shared" si="0"/>
        <v>21.6</v>
      </c>
      <c r="E28" s="4">
        <v>0.28541666666666665</v>
      </c>
      <c r="F28" s="2">
        <v>0</v>
      </c>
      <c r="G28" s="55">
        <f>D28+F28</f>
        <v>21.6</v>
      </c>
      <c r="I28" s="7"/>
      <c r="J28" s="7"/>
    </row>
    <row r="29" spans="1:10" ht="14.25" customHeight="1">
      <c r="A29" s="2">
        <v>21</v>
      </c>
      <c r="B29" s="54" t="str">
        <f>IF(A29="","",VLOOKUP(A29,Жеребьевка!$A$6:$C$45,2,0))</f>
        <v>Сазеев Илья Михайлович</v>
      </c>
      <c r="C29" s="2">
        <v>100</v>
      </c>
      <c r="D29" s="6">
        <f t="shared" si="0"/>
        <v>20</v>
      </c>
      <c r="E29" s="4">
        <v>0.25625000000000003</v>
      </c>
      <c r="F29" s="2">
        <v>0</v>
      </c>
      <c r="G29" s="55">
        <f>D29+F29</f>
        <v>20</v>
      </c>
      <c r="I29" s="7"/>
      <c r="J29" s="7"/>
    </row>
    <row r="30" spans="1:10" ht="14.25" customHeight="1">
      <c r="A30" s="2">
        <v>22</v>
      </c>
      <c r="B30" s="54" t="str">
        <f>IF(A30="","",VLOOKUP(A30,Жеребьевка!$A$6:$C$45,2,0))</f>
        <v>Кузюк Валентина Павловна</v>
      </c>
      <c r="C30" s="2">
        <v>90</v>
      </c>
      <c r="D30" s="6">
        <f t="shared" si="0"/>
        <v>18</v>
      </c>
      <c r="E30" s="4">
        <v>0.2652777777777778</v>
      </c>
      <c r="F30" s="2">
        <v>0</v>
      </c>
      <c r="G30" s="55">
        <f>D30+F30</f>
        <v>18</v>
      </c>
      <c r="I30" s="7"/>
      <c r="J30" s="7"/>
    </row>
    <row r="31" spans="1:10" ht="14.25" customHeight="1">
      <c r="A31" s="2">
        <v>23</v>
      </c>
      <c r="B31" s="54" t="str">
        <f>IF(A31="","",VLOOKUP(A31,Жеребьевка!$A$6:$C$45,2,0))</f>
        <v>Глуханюк Михаил Юрьевич</v>
      </c>
      <c r="C31" s="2">
        <v>50</v>
      </c>
      <c r="D31" s="6">
        <f t="shared" si="0"/>
        <v>10</v>
      </c>
      <c r="E31" s="52">
        <v>0.14444444444444446</v>
      </c>
      <c r="F31" s="2">
        <v>0</v>
      </c>
      <c r="G31" s="55">
        <v>0</v>
      </c>
      <c r="I31" s="7"/>
      <c r="J31" s="7"/>
    </row>
    <row r="32" spans="1:10" ht="14.25" customHeight="1">
      <c r="A32" s="2">
        <v>24</v>
      </c>
      <c r="B32" s="54" t="str">
        <f>IF(A32="","",VLOOKUP(A32,Жеребьевка!$A$6:$C$45,2,0))</f>
        <v>Лобачёва Анжелика Юрьевна</v>
      </c>
      <c r="C32" s="2">
        <v>114</v>
      </c>
      <c r="D32" s="6">
        <f t="shared" si="0"/>
        <v>22.8</v>
      </c>
      <c r="E32" s="4">
        <v>0.25277777777777777</v>
      </c>
      <c r="F32" s="2">
        <v>1</v>
      </c>
      <c r="G32" s="55">
        <f>D32+F32</f>
        <v>23.8</v>
      </c>
      <c r="I32" s="7"/>
      <c r="J32" s="7"/>
    </row>
    <row r="33" spans="1:10" ht="14.25" customHeight="1">
      <c r="A33" s="2">
        <v>25</v>
      </c>
      <c r="B33" s="54" t="str">
        <f>IF(A33="","",VLOOKUP(A33,Жеребьевка!$A$6:$C$45,2,0))</f>
        <v>Пиженко Анатолий Александрович</v>
      </c>
      <c r="C33" s="2">
        <v>111</v>
      </c>
      <c r="D33" s="6">
        <f t="shared" si="0"/>
        <v>22.200000000000003</v>
      </c>
      <c r="E33" s="4">
        <v>0.22430555555555556</v>
      </c>
      <c r="F33" s="2">
        <v>0</v>
      </c>
      <c r="G33" s="55">
        <f>D33+F33</f>
        <v>22.200000000000003</v>
      </c>
      <c r="I33" s="7"/>
      <c r="J33" s="7"/>
    </row>
    <row r="34" spans="1:10" ht="14.25" customHeight="1">
      <c r="A34" s="2">
        <v>26</v>
      </c>
      <c r="B34" s="54" t="str">
        <f>IF(A34="","",VLOOKUP(A34,Жеребьевка!$A$6:$C$45,2,0))</f>
        <v>Полещук Юлия Викторовна</v>
      </c>
      <c r="C34" s="34">
        <v>103</v>
      </c>
      <c r="D34" s="49">
        <f t="shared" si="0"/>
        <v>20.6</v>
      </c>
      <c r="E34" s="15">
        <v>0.2833333333333333</v>
      </c>
      <c r="F34" s="2">
        <v>0</v>
      </c>
      <c r="G34" s="39">
        <v>0</v>
      </c>
      <c r="I34" s="7"/>
      <c r="J34" s="7"/>
    </row>
    <row r="35" spans="1:10" ht="14.25" customHeight="1">
      <c r="A35" s="2">
        <v>27</v>
      </c>
      <c r="B35" s="54" t="str">
        <f>IF(A35="","",VLOOKUP(A35,Жеребьевка!$A$6:$C$45,2,0))</f>
        <v>Прохорова Ольга Викторовна</v>
      </c>
      <c r="C35" s="2">
        <v>99</v>
      </c>
      <c r="D35" s="6">
        <f t="shared" si="0"/>
        <v>19.8</v>
      </c>
      <c r="E35" s="4">
        <v>0.2236111111111111</v>
      </c>
      <c r="F35" s="2">
        <v>0</v>
      </c>
      <c r="G35" s="55">
        <f>D35+F35</f>
        <v>19.8</v>
      </c>
      <c r="I35" s="7"/>
      <c r="J35" s="7"/>
    </row>
    <row r="36" spans="1:10" ht="14.25" customHeight="1">
      <c r="A36" s="2">
        <v>28</v>
      </c>
      <c r="B36" s="54" t="str">
        <f>IF(A36="","",VLOOKUP(A36,Жеребьевка!$A$6:$C$45,2,0))</f>
        <v>Филатов Александр Валерьевич</v>
      </c>
      <c r="C36" s="2">
        <v>89</v>
      </c>
      <c r="D36" s="6">
        <f t="shared" si="0"/>
        <v>17.8</v>
      </c>
      <c r="E36" s="15">
        <v>0.22777777777777777</v>
      </c>
      <c r="F36" s="2">
        <v>0</v>
      </c>
      <c r="G36" s="55">
        <f>D36+F36</f>
        <v>17.8</v>
      </c>
      <c r="I36" s="7"/>
      <c r="J36" s="7"/>
    </row>
    <row r="37" spans="1:10" ht="14.25" customHeight="1">
      <c r="A37" s="2">
        <v>29</v>
      </c>
      <c r="B37" s="54" t="str">
        <f>IF(A37="","",VLOOKUP(A37,Жеребьевка!$A$6:$C$45,2,0))</f>
        <v>Шереверов Алексей Юрьевич</v>
      </c>
      <c r="C37" s="46">
        <v>72</v>
      </c>
      <c r="D37" s="47">
        <f t="shared" si="0"/>
        <v>14.4</v>
      </c>
      <c r="E37" s="48">
        <v>0.2520833333333333</v>
      </c>
      <c r="F37" s="2">
        <v>0</v>
      </c>
      <c r="G37" s="55">
        <f>D37+F37</f>
        <v>14.4</v>
      </c>
      <c r="I37" s="7"/>
      <c r="J37" s="7"/>
    </row>
    <row r="38" spans="1:10" ht="14.25" customHeight="1">
      <c r="A38" s="2">
        <v>30</v>
      </c>
      <c r="B38" s="54" t="str">
        <f>IF(A38="","",VLOOKUP(A38,Жеребьевка!$A$6:$C$45,2,0))</f>
        <v>Дикова Ирина Владимировна</v>
      </c>
      <c r="C38" s="2">
        <v>114</v>
      </c>
      <c r="D38" s="6">
        <f t="shared" si="0"/>
        <v>22.8</v>
      </c>
      <c r="E38" s="4">
        <v>0.2347222222222222</v>
      </c>
      <c r="F38" s="2">
        <v>2</v>
      </c>
      <c r="G38" s="55">
        <f>D38+F38</f>
        <v>24.8</v>
      </c>
      <c r="I38" s="7"/>
      <c r="J38" s="7"/>
    </row>
    <row r="39" spans="1:10" ht="14.25" customHeight="1">
      <c r="A39" s="2">
        <v>31</v>
      </c>
      <c r="B39" s="54" t="str">
        <f>IF(A39="","",VLOOKUP(A39,Жеребьевка!$A$6:$C$45,2,0))</f>
        <v>Демина Кристина Альбертовна</v>
      </c>
      <c r="C39" s="34">
        <v>64</v>
      </c>
      <c r="D39" s="49">
        <f t="shared" si="0"/>
        <v>12.8</v>
      </c>
      <c r="E39" s="15">
        <v>0.2923611111111111</v>
      </c>
      <c r="F39" s="2">
        <v>0</v>
      </c>
      <c r="G39" s="55">
        <v>0</v>
      </c>
      <c r="I39" s="7"/>
      <c r="J39" s="7"/>
    </row>
    <row r="40" spans="1:10" ht="14.25" customHeight="1">
      <c r="A40" s="2">
        <v>32</v>
      </c>
      <c r="B40" s="54" t="str">
        <f>IF(A40="","",VLOOKUP(A40,Жеребьевка!$A$6:$C$45,2,0))</f>
        <v>Долганов Никита Вячеславович</v>
      </c>
      <c r="C40" s="2">
        <v>107</v>
      </c>
      <c r="D40" s="6">
        <f t="shared" si="0"/>
        <v>21.400000000000002</v>
      </c>
      <c r="E40" s="4">
        <v>0.2347222222222222</v>
      </c>
      <c r="F40" s="2">
        <v>0</v>
      </c>
      <c r="G40" s="55">
        <f>D40+F40</f>
        <v>21.400000000000002</v>
      </c>
      <c r="I40" s="7"/>
      <c r="J40" s="7"/>
    </row>
    <row r="41" spans="1:10" ht="14.25" customHeight="1">
      <c r="A41" s="2">
        <v>33</v>
      </c>
      <c r="B41" s="54" t="str">
        <f>IF(A41="","",VLOOKUP(A41,Жеребьевка!$A$6:$C$45,2,0))</f>
        <v>Панин Сергей Эдуардович</v>
      </c>
      <c r="C41" s="2">
        <v>111</v>
      </c>
      <c r="D41" s="6">
        <f t="shared" si="0"/>
        <v>22.200000000000003</v>
      </c>
      <c r="E41" s="4">
        <v>0.2298611111111111</v>
      </c>
      <c r="F41" s="2">
        <v>0</v>
      </c>
      <c r="G41" s="55">
        <f>D41+F41</f>
        <v>22.200000000000003</v>
      </c>
      <c r="I41" s="7"/>
      <c r="J41" s="7"/>
    </row>
    <row r="42" spans="1:10" ht="14.25" customHeight="1">
      <c r="A42" s="2">
        <v>34</v>
      </c>
      <c r="B42" s="54" t="str">
        <f>IF(A42="","",VLOOKUP(A42,Жеребьевка!$A$6:$C$45,2,0))</f>
        <v>Шучалова Татьяна Владимировна</v>
      </c>
      <c r="C42" s="34">
        <v>94</v>
      </c>
      <c r="D42" s="49">
        <f t="shared" si="0"/>
        <v>18.8</v>
      </c>
      <c r="E42" s="15">
        <v>0.2923611111111111</v>
      </c>
      <c r="F42" s="2">
        <v>0</v>
      </c>
      <c r="G42" s="55">
        <v>0</v>
      </c>
      <c r="I42" s="7"/>
      <c r="J42" s="7"/>
    </row>
    <row r="43" spans="1:10" ht="14.25" customHeight="1">
      <c r="A43" s="2">
        <v>35</v>
      </c>
      <c r="B43" s="54" t="str">
        <f>IF(A43="","",VLOOKUP(A43,Жеребьевка!$A$6:$C$45,2,0))</f>
        <v>Гнусов Павел Михайлович</v>
      </c>
      <c r="C43" s="2">
        <v>113</v>
      </c>
      <c r="D43" s="6">
        <f t="shared" si="0"/>
        <v>22.6</v>
      </c>
      <c r="E43" s="4">
        <v>0.21180555555555555</v>
      </c>
      <c r="F43" s="2">
        <v>0</v>
      </c>
      <c r="G43" s="55">
        <f>D43+F43</f>
        <v>22.6</v>
      </c>
      <c r="I43" s="7"/>
      <c r="J43" s="7"/>
    </row>
    <row r="44" spans="1:10" ht="14.25" customHeight="1">
      <c r="A44" s="2">
        <v>36</v>
      </c>
      <c r="B44" s="54" t="str">
        <f>IF(A44="","",VLOOKUP(A44,Жеребьевка!$A$6:$C$45,2,0))</f>
        <v>Гайнутдинова Асия Фаридовна</v>
      </c>
      <c r="C44" s="2">
        <v>101</v>
      </c>
      <c r="D44" s="6">
        <f t="shared" si="0"/>
        <v>20.200000000000003</v>
      </c>
      <c r="E44" s="4">
        <v>0.25972222222222224</v>
      </c>
      <c r="F44" s="2">
        <v>0</v>
      </c>
      <c r="G44" s="55">
        <f>D44+F44</f>
        <v>20.200000000000003</v>
      </c>
      <c r="I44" s="7"/>
      <c r="J44" s="7"/>
    </row>
  </sheetData>
  <sheetProtection password="C61B" sheet="1"/>
  <mergeCells count="11">
    <mergeCell ref="F7:F8"/>
    <mergeCell ref="A3:G3"/>
    <mergeCell ref="A5:G5"/>
    <mergeCell ref="G7:G8"/>
    <mergeCell ref="I7:I8"/>
    <mergeCell ref="J7:J8"/>
    <mergeCell ref="A7:A8"/>
    <mergeCell ref="B7:B8"/>
    <mergeCell ref="C7:C8"/>
    <mergeCell ref="D7:D8"/>
    <mergeCell ref="E7:E8"/>
  </mergeCells>
  <conditionalFormatting sqref="G9:G44">
    <cfRule type="cellIs" priority="1" dxfId="0" operator="equal" stopIfTrue="1">
      <formula>1</formula>
    </cfRule>
  </conditionalFormatting>
  <printOptions horizontalCentered="1"/>
  <pageMargins left="0.11811023622047245" right="0.11811023622047245" top="0.5511811023622047" bottom="0.1968503937007874" header="0" footer="0"/>
  <pageSetup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8515625" style="18" customWidth="1"/>
    <col min="2" max="2" width="35.28125" style="19" customWidth="1"/>
    <col min="3" max="4" width="11.57421875" style="18" customWidth="1"/>
    <col min="5" max="5" width="10.8515625" style="18" customWidth="1"/>
    <col min="6" max="6" width="9.7109375" style="18" customWidth="1"/>
    <col min="7" max="17" width="11.57421875" style="18" customWidth="1"/>
    <col min="18" max="18" width="10.7109375" style="18" customWidth="1"/>
    <col min="19" max="19" width="7.8515625" style="18" customWidth="1"/>
    <col min="20" max="21" width="13.421875" style="18" customWidth="1"/>
    <col min="22" max="22" width="4.8515625" style="18" customWidth="1"/>
    <col min="23" max="16384" width="9.140625" style="18" customWidth="1"/>
  </cols>
  <sheetData>
    <row r="3" spans="1:18" s="1" customFormat="1" ht="12.75">
      <c r="A3" s="75" t="s">
        <v>145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="1" customFormat="1" ht="12.75"/>
    <row r="5" spans="1:18" s="1" customFormat="1" ht="12.75">
      <c r="A5" s="76" t="s">
        <v>150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="1" customFormat="1" ht="12.75"/>
    <row r="7" spans="1:18" ht="15" customHeight="1">
      <c r="A7" s="85" t="s">
        <v>0</v>
      </c>
      <c r="B7" s="86" t="s">
        <v>6</v>
      </c>
      <c r="C7" s="87" t="s">
        <v>25</v>
      </c>
      <c r="D7" s="87"/>
      <c r="E7" s="87"/>
      <c r="F7" s="87"/>
      <c r="G7" s="87"/>
      <c r="H7" s="87" t="s">
        <v>26</v>
      </c>
      <c r="I7" s="87"/>
      <c r="J7" s="87"/>
      <c r="K7" s="87"/>
      <c r="L7" s="87"/>
      <c r="M7" s="87"/>
      <c r="N7" s="87"/>
      <c r="O7" s="22"/>
      <c r="P7" s="22"/>
      <c r="Q7" s="22"/>
      <c r="R7" s="22"/>
    </row>
    <row r="8" spans="1:21" ht="12.75" customHeight="1">
      <c r="A8" s="85"/>
      <c r="B8" s="86"/>
      <c r="C8" s="88" t="s">
        <v>27</v>
      </c>
      <c r="D8" s="88" t="s">
        <v>28</v>
      </c>
      <c r="E8" s="88" t="s">
        <v>23</v>
      </c>
      <c r="F8" s="88" t="s">
        <v>4</v>
      </c>
      <c r="G8" s="86" t="s">
        <v>29</v>
      </c>
      <c r="H8" s="89" t="s">
        <v>30</v>
      </c>
      <c r="I8" s="79" t="s">
        <v>7</v>
      </c>
      <c r="J8" s="89" t="s">
        <v>31</v>
      </c>
      <c r="K8" s="79" t="s">
        <v>7</v>
      </c>
      <c r="L8" s="89" t="s">
        <v>32</v>
      </c>
      <c r="M8" s="79" t="s">
        <v>7</v>
      </c>
      <c r="N8" s="89" t="s">
        <v>33</v>
      </c>
      <c r="O8" s="79" t="s">
        <v>7</v>
      </c>
      <c r="P8" s="86" t="s">
        <v>34</v>
      </c>
      <c r="Q8" s="86" t="s">
        <v>35</v>
      </c>
      <c r="R8" s="91" t="s">
        <v>8</v>
      </c>
      <c r="S8" s="21"/>
      <c r="T8" s="81" t="s">
        <v>14</v>
      </c>
      <c r="U8" s="82" t="s">
        <v>1</v>
      </c>
    </row>
    <row r="9" spans="1:21" ht="12.75" customHeight="1">
      <c r="A9" s="85"/>
      <c r="B9" s="86"/>
      <c r="C9" s="88"/>
      <c r="D9" s="88"/>
      <c r="E9" s="88"/>
      <c r="F9" s="88"/>
      <c r="G9" s="71"/>
      <c r="H9" s="89"/>
      <c r="I9" s="79"/>
      <c r="J9" s="79"/>
      <c r="K9" s="79"/>
      <c r="L9" s="79"/>
      <c r="M9" s="79"/>
      <c r="N9" s="79"/>
      <c r="O9" s="79"/>
      <c r="P9" s="71"/>
      <c r="Q9" s="71"/>
      <c r="R9" s="91"/>
      <c r="S9" s="21"/>
      <c r="T9" s="81"/>
      <c r="U9" s="82"/>
    </row>
    <row r="10" spans="1:21" ht="15" customHeight="1">
      <c r="A10" s="22">
        <v>1</v>
      </c>
      <c r="B10" s="45" t="str">
        <f>IF(A10="","",VLOOKUP(A10,Жеребьевка!$A$6:$C$45,2,0))</f>
        <v>Шибин Евгений Владимирович</v>
      </c>
      <c r="C10" s="36">
        <v>7</v>
      </c>
      <c r="D10" s="36">
        <v>1</v>
      </c>
      <c r="E10" s="52">
        <v>0.14652777777777778</v>
      </c>
      <c r="F10" s="22">
        <v>0</v>
      </c>
      <c r="G10" s="23">
        <f aca="true" t="shared" si="0" ref="G10:G45">C10*0.15+D10+F10</f>
        <v>2.05</v>
      </c>
      <c r="H10" s="36">
        <v>1</v>
      </c>
      <c r="I10" s="25">
        <f aca="true" t="shared" si="1" ref="I10:I45">IF(H10="","",VLOOKUP(H10,$T$11:$U$14,2,0))</f>
        <v>0.3</v>
      </c>
      <c r="J10" s="36">
        <v>1</v>
      </c>
      <c r="K10" s="25">
        <f aca="true" t="shared" si="2" ref="K10:K45">IF(J10="","",VLOOKUP(J10,$T$11:$U$14,2,0))</f>
        <v>0.3</v>
      </c>
      <c r="L10" s="36">
        <v>1</v>
      </c>
      <c r="M10" s="25">
        <f aca="true" t="shared" si="3" ref="M10:M45">IF(L10="","",VLOOKUP(L10,$T$11:$U$14,2,0))</f>
        <v>0.3</v>
      </c>
      <c r="N10" s="36">
        <v>1</v>
      </c>
      <c r="O10" s="25">
        <f aca="true" t="shared" si="4" ref="O10:O45">IF(N10="","",VLOOKUP(N10,$T$11:$U$14,2,0))</f>
        <v>0.3</v>
      </c>
      <c r="P10" s="36">
        <v>1</v>
      </c>
      <c r="Q10" s="23">
        <f aca="true" t="shared" si="5" ref="Q10:Q45">I10+K10+M10+O10+P10</f>
        <v>2.2</v>
      </c>
      <c r="R10" s="55">
        <f aca="true" t="shared" si="6" ref="R10:R15">G10+Q10</f>
        <v>4.25</v>
      </c>
      <c r="S10" s="24"/>
      <c r="T10" s="81"/>
      <c r="U10" s="82"/>
    </row>
    <row r="11" spans="1:21" ht="15" customHeight="1">
      <c r="A11" s="22">
        <v>2</v>
      </c>
      <c r="B11" s="45" t="str">
        <f>IF(A11="","",VLOOKUP(A11,Жеребьевка!$A$6:$C$45,2,0))</f>
        <v>Мельницын Сергей Владимирович</v>
      </c>
      <c r="C11" s="36">
        <v>12</v>
      </c>
      <c r="D11" s="36">
        <v>1</v>
      </c>
      <c r="E11" s="52">
        <v>0.1326388888888889</v>
      </c>
      <c r="F11" s="22">
        <v>0</v>
      </c>
      <c r="G11" s="23">
        <f t="shared" si="0"/>
        <v>2.8</v>
      </c>
      <c r="H11" s="36">
        <v>1</v>
      </c>
      <c r="I11" s="25">
        <f t="shared" si="1"/>
        <v>0.3</v>
      </c>
      <c r="J11" s="36">
        <v>1</v>
      </c>
      <c r="K11" s="25">
        <f t="shared" si="2"/>
        <v>0.3</v>
      </c>
      <c r="L11" s="36">
        <v>1</v>
      </c>
      <c r="M11" s="25">
        <f t="shared" si="3"/>
        <v>0.3</v>
      </c>
      <c r="N11" s="36">
        <v>1</v>
      </c>
      <c r="O11" s="25">
        <f t="shared" si="4"/>
        <v>0.3</v>
      </c>
      <c r="P11" s="36">
        <v>1</v>
      </c>
      <c r="Q11" s="23">
        <f t="shared" si="5"/>
        <v>2.2</v>
      </c>
      <c r="R11" s="55">
        <f t="shared" si="6"/>
        <v>5</v>
      </c>
      <c r="S11" s="24"/>
      <c r="T11" s="3">
        <v>0</v>
      </c>
      <c r="U11" s="3">
        <v>0</v>
      </c>
    </row>
    <row r="12" spans="1:21" ht="15" customHeight="1">
      <c r="A12" s="22">
        <v>3</v>
      </c>
      <c r="B12" s="45" t="str">
        <f>IF(A12="","",VLOOKUP(A12,Жеребьевка!$A$6:$C$45,2,0))</f>
        <v>Гайнуллин Рустам Фаритович</v>
      </c>
      <c r="C12" s="36">
        <v>11</v>
      </c>
      <c r="D12" s="36">
        <v>1</v>
      </c>
      <c r="E12" s="52">
        <v>0.16180555555555556</v>
      </c>
      <c r="F12" s="22">
        <v>0</v>
      </c>
      <c r="G12" s="23">
        <f t="shared" si="0"/>
        <v>2.65</v>
      </c>
      <c r="H12" s="36">
        <v>1</v>
      </c>
      <c r="I12" s="25">
        <f t="shared" si="1"/>
        <v>0.3</v>
      </c>
      <c r="J12" s="36">
        <v>1</v>
      </c>
      <c r="K12" s="25">
        <f t="shared" si="2"/>
        <v>0.3</v>
      </c>
      <c r="L12" s="36">
        <v>1</v>
      </c>
      <c r="M12" s="25">
        <f t="shared" si="3"/>
        <v>0.3</v>
      </c>
      <c r="N12" s="36">
        <v>1</v>
      </c>
      <c r="O12" s="25">
        <f t="shared" si="4"/>
        <v>0.3</v>
      </c>
      <c r="P12" s="36">
        <v>0</v>
      </c>
      <c r="Q12" s="23">
        <f t="shared" si="5"/>
        <v>1.2</v>
      </c>
      <c r="R12" s="55">
        <f t="shared" si="6"/>
        <v>3.8499999999999996</v>
      </c>
      <c r="S12" s="24"/>
      <c r="T12" s="3">
        <v>1</v>
      </c>
      <c r="U12" s="3">
        <v>0.3</v>
      </c>
    </row>
    <row r="13" spans="1:21" ht="15" customHeight="1">
      <c r="A13" s="22">
        <v>4</v>
      </c>
      <c r="B13" s="45" t="str">
        <f>IF(A13="","",VLOOKUP(A13,Жеребьевка!$A$6:$C$45,2,0))</f>
        <v>Мартынов Владимир Михайлович</v>
      </c>
      <c r="C13" s="36">
        <v>11</v>
      </c>
      <c r="D13" s="36">
        <v>1</v>
      </c>
      <c r="E13" s="52">
        <v>0.14166666666666666</v>
      </c>
      <c r="F13" s="22">
        <v>0</v>
      </c>
      <c r="G13" s="23">
        <f t="shared" si="0"/>
        <v>2.65</v>
      </c>
      <c r="H13" s="22">
        <v>1</v>
      </c>
      <c r="I13" s="23">
        <f t="shared" si="1"/>
        <v>0.3</v>
      </c>
      <c r="J13" s="22">
        <v>2</v>
      </c>
      <c r="K13" s="23">
        <f t="shared" si="2"/>
        <v>0.7</v>
      </c>
      <c r="L13" s="22">
        <v>2</v>
      </c>
      <c r="M13" s="23">
        <f t="shared" si="3"/>
        <v>0.7</v>
      </c>
      <c r="N13" s="22">
        <v>2</v>
      </c>
      <c r="O13" s="23">
        <f t="shared" si="4"/>
        <v>0.7</v>
      </c>
      <c r="P13" s="22">
        <v>0</v>
      </c>
      <c r="Q13" s="23">
        <f t="shared" si="5"/>
        <v>2.4</v>
      </c>
      <c r="R13" s="55">
        <f t="shared" si="6"/>
        <v>5.05</v>
      </c>
      <c r="S13" s="24"/>
      <c r="T13" s="3">
        <v>2</v>
      </c>
      <c r="U13" s="3">
        <v>0.7</v>
      </c>
    </row>
    <row r="14" spans="1:21" ht="15" customHeight="1">
      <c r="A14" s="22">
        <v>5</v>
      </c>
      <c r="B14" s="45" t="str">
        <f>IF(A14="","",VLOOKUP(A14,Жеребьевка!$A$6:$C$45,2,0))</f>
        <v>Богатырева Оксана Юрьевна</v>
      </c>
      <c r="C14" s="36">
        <v>12</v>
      </c>
      <c r="D14" s="36">
        <v>1</v>
      </c>
      <c r="E14" s="52">
        <v>0.14791666666666667</v>
      </c>
      <c r="F14" s="22">
        <v>0.4</v>
      </c>
      <c r="G14" s="23">
        <f t="shared" si="0"/>
        <v>3.1999999999999997</v>
      </c>
      <c r="H14" s="22">
        <v>3</v>
      </c>
      <c r="I14" s="23">
        <f t="shared" si="1"/>
        <v>1</v>
      </c>
      <c r="J14" s="22">
        <v>2</v>
      </c>
      <c r="K14" s="23">
        <f t="shared" si="2"/>
        <v>0.7</v>
      </c>
      <c r="L14" s="22">
        <v>2</v>
      </c>
      <c r="M14" s="23">
        <f t="shared" si="3"/>
        <v>0.7</v>
      </c>
      <c r="N14" s="22">
        <v>3</v>
      </c>
      <c r="O14" s="23">
        <f t="shared" si="4"/>
        <v>1</v>
      </c>
      <c r="P14" s="22">
        <v>1</v>
      </c>
      <c r="Q14" s="23">
        <f t="shared" si="5"/>
        <v>4.4</v>
      </c>
      <c r="R14" s="55">
        <f t="shared" si="6"/>
        <v>7.6</v>
      </c>
      <c r="S14" s="24"/>
      <c r="T14" s="3">
        <v>3</v>
      </c>
      <c r="U14" s="3">
        <v>1</v>
      </c>
    </row>
    <row r="15" spans="1:19" ht="15" customHeight="1">
      <c r="A15" s="22">
        <v>6</v>
      </c>
      <c r="B15" s="45" t="str">
        <f>IF(A15="","",VLOOKUP(A15,Жеребьевка!$A$6:$C$45,2,0))</f>
        <v>Кирова Татьяна Михайловна</v>
      </c>
      <c r="C15" s="36">
        <v>12</v>
      </c>
      <c r="D15" s="36">
        <v>1</v>
      </c>
      <c r="E15" s="52">
        <v>0.12708333333333333</v>
      </c>
      <c r="F15" s="22">
        <v>0</v>
      </c>
      <c r="G15" s="23">
        <f t="shared" si="0"/>
        <v>2.8</v>
      </c>
      <c r="H15" s="22">
        <v>0</v>
      </c>
      <c r="I15" s="23">
        <f t="shared" si="1"/>
        <v>0</v>
      </c>
      <c r="J15" s="22">
        <v>0</v>
      </c>
      <c r="K15" s="23">
        <f t="shared" si="2"/>
        <v>0</v>
      </c>
      <c r="L15" s="22">
        <v>2</v>
      </c>
      <c r="M15" s="23">
        <f t="shared" si="3"/>
        <v>0.7</v>
      </c>
      <c r="N15" s="22">
        <v>3</v>
      </c>
      <c r="O15" s="23">
        <f t="shared" si="4"/>
        <v>1</v>
      </c>
      <c r="P15" s="22">
        <v>0</v>
      </c>
      <c r="Q15" s="23">
        <f t="shared" si="5"/>
        <v>1.7</v>
      </c>
      <c r="R15" s="55">
        <f t="shared" si="6"/>
        <v>4.5</v>
      </c>
      <c r="S15" s="24"/>
    </row>
    <row r="16" spans="1:21" ht="15" customHeight="1">
      <c r="A16" s="22">
        <v>7</v>
      </c>
      <c r="B16" s="45" t="str">
        <f>IF(A16="","",VLOOKUP(A16,Жеребьевка!$A$6:$C$45,2,0))</f>
        <v>Чугунова Ольга Викторовна</v>
      </c>
      <c r="C16" s="36">
        <v>11</v>
      </c>
      <c r="D16" s="36">
        <v>1</v>
      </c>
      <c r="E16" s="52">
        <v>0.17361111111111113</v>
      </c>
      <c r="F16" s="22">
        <v>0</v>
      </c>
      <c r="G16" s="23">
        <f t="shared" si="0"/>
        <v>2.65</v>
      </c>
      <c r="H16" s="22">
        <v>0</v>
      </c>
      <c r="I16" s="23">
        <f t="shared" si="1"/>
        <v>0</v>
      </c>
      <c r="J16" s="22">
        <v>0</v>
      </c>
      <c r="K16" s="23">
        <f t="shared" si="2"/>
        <v>0</v>
      </c>
      <c r="L16" s="22">
        <v>0</v>
      </c>
      <c r="M16" s="23">
        <f t="shared" si="3"/>
        <v>0</v>
      </c>
      <c r="N16" s="22">
        <v>0</v>
      </c>
      <c r="O16" s="23">
        <f t="shared" si="4"/>
        <v>0</v>
      </c>
      <c r="P16" s="22">
        <v>0</v>
      </c>
      <c r="Q16" s="23">
        <f t="shared" si="5"/>
        <v>0</v>
      </c>
      <c r="R16" s="55">
        <v>0</v>
      </c>
      <c r="S16" s="24"/>
      <c r="T16" s="90" t="s">
        <v>151</v>
      </c>
      <c r="U16" s="90"/>
    </row>
    <row r="17" spans="1:21" ht="15" customHeight="1">
      <c r="A17" s="22">
        <v>8</v>
      </c>
      <c r="B17" s="45" t="str">
        <f>IF(A17="","",VLOOKUP(A17,Жеребьевка!$A$6:$C$45,2,0))</f>
        <v>Фомин Владимир Александрович</v>
      </c>
      <c r="C17" s="36">
        <v>9</v>
      </c>
      <c r="D17" s="36">
        <v>1</v>
      </c>
      <c r="E17" s="52">
        <v>0.15833333333333333</v>
      </c>
      <c r="F17" s="22">
        <v>0</v>
      </c>
      <c r="G17" s="23">
        <f t="shared" si="0"/>
        <v>2.3499999999999996</v>
      </c>
      <c r="H17" s="22">
        <v>3</v>
      </c>
      <c r="I17" s="23">
        <f t="shared" si="1"/>
        <v>1</v>
      </c>
      <c r="J17" s="22">
        <v>2</v>
      </c>
      <c r="K17" s="23">
        <f t="shared" si="2"/>
        <v>0.7</v>
      </c>
      <c r="L17" s="22">
        <v>2</v>
      </c>
      <c r="M17" s="23">
        <f t="shared" si="3"/>
        <v>0.7</v>
      </c>
      <c r="N17" s="22">
        <v>2</v>
      </c>
      <c r="O17" s="23">
        <f t="shared" si="4"/>
        <v>0.7</v>
      </c>
      <c r="P17" s="22">
        <v>1</v>
      </c>
      <c r="Q17" s="23">
        <f t="shared" si="5"/>
        <v>4.1</v>
      </c>
      <c r="R17" s="55">
        <f>G17+Q17</f>
        <v>6.449999999999999</v>
      </c>
      <c r="S17" s="24"/>
      <c r="T17" s="20" t="s">
        <v>3</v>
      </c>
      <c r="U17" s="20" t="s">
        <v>4</v>
      </c>
    </row>
    <row r="18" spans="1:21" ht="15" customHeight="1">
      <c r="A18" s="22">
        <v>9</v>
      </c>
      <c r="B18" s="45" t="str">
        <f>IF(A18="","",VLOOKUP(A18,Жеребьевка!$A$6:$C$45,2,0))</f>
        <v>Шустров Олег Николаевич</v>
      </c>
      <c r="C18" s="36">
        <v>12</v>
      </c>
      <c r="D18" s="36">
        <v>1</v>
      </c>
      <c r="E18" s="52">
        <v>0.15625</v>
      </c>
      <c r="F18" s="22">
        <v>1</v>
      </c>
      <c r="G18" s="23">
        <f t="shared" si="0"/>
        <v>3.8</v>
      </c>
      <c r="H18" s="22">
        <v>3</v>
      </c>
      <c r="I18" s="23">
        <f t="shared" si="1"/>
        <v>1</v>
      </c>
      <c r="J18" s="22">
        <v>2</v>
      </c>
      <c r="K18" s="23">
        <f t="shared" si="2"/>
        <v>0.7</v>
      </c>
      <c r="L18" s="22">
        <v>2</v>
      </c>
      <c r="M18" s="23">
        <f t="shared" si="3"/>
        <v>0.7</v>
      </c>
      <c r="N18" s="22">
        <v>2</v>
      </c>
      <c r="O18" s="23">
        <f t="shared" si="4"/>
        <v>0.7</v>
      </c>
      <c r="P18" s="22">
        <v>1</v>
      </c>
      <c r="Q18" s="23">
        <f t="shared" si="5"/>
        <v>4.1</v>
      </c>
      <c r="R18" s="55">
        <f>G18+Q18</f>
        <v>7.8999999999999995</v>
      </c>
      <c r="S18" s="24"/>
      <c r="T18" s="23">
        <v>1</v>
      </c>
      <c r="U18" s="23">
        <v>2</v>
      </c>
    </row>
    <row r="19" spans="1:21" ht="15" customHeight="1">
      <c r="A19" s="22">
        <v>10</v>
      </c>
      <c r="B19" s="45" t="str">
        <f>IF(A19="","",VLOOKUP(A19,Жеребьевка!$A$6:$C$45,2,0))</f>
        <v>Логинова Оксана Сергеевна</v>
      </c>
      <c r="C19" s="36">
        <v>12</v>
      </c>
      <c r="D19" s="36">
        <v>1</v>
      </c>
      <c r="E19" s="52">
        <v>0.12430555555555556</v>
      </c>
      <c r="F19" s="22">
        <v>0</v>
      </c>
      <c r="G19" s="23">
        <f t="shared" si="0"/>
        <v>2.8</v>
      </c>
      <c r="H19" s="22">
        <v>1</v>
      </c>
      <c r="I19" s="23">
        <f t="shared" si="1"/>
        <v>0.3</v>
      </c>
      <c r="J19" s="22">
        <v>1</v>
      </c>
      <c r="K19" s="23">
        <f t="shared" si="2"/>
        <v>0.3</v>
      </c>
      <c r="L19" s="22">
        <v>2</v>
      </c>
      <c r="M19" s="23">
        <f t="shared" si="3"/>
        <v>0.7</v>
      </c>
      <c r="N19" s="22">
        <v>2</v>
      </c>
      <c r="O19" s="23">
        <f t="shared" si="4"/>
        <v>0.7</v>
      </c>
      <c r="P19" s="22">
        <v>0</v>
      </c>
      <c r="Q19" s="23">
        <f t="shared" si="5"/>
        <v>1.9999999999999998</v>
      </c>
      <c r="R19" s="55">
        <f>G19+Q19</f>
        <v>4.8</v>
      </c>
      <c r="S19" s="24"/>
      <c r="T19" s="23">
        <v>2</v>
      </c>
      <c r="U19" s="23">
        <v>1.5</v>
      </c>
    </row>
    <row r="20" spans="1:21" ht="15" customHeight="1">
      <c r="A20" s="22">
        <v>11</v>
      </c>
      <c r="B20" s="45" t="str">
        <f>IF(A20="","",VLOOKUP(A20,Жеребьевка!$A$6:$C$45,2,0))</f>
        <v>Шахворостова Олеся Владимировна</v>
      </c>
      <c r="C20" s="36">
        <v>12</v>
      </c>
      <c r="D20" s="36">
        <v>1</v>
      </c>
      <c r="E20" s="52">
        <v>0.1423611111111111</v>
      </c>
      <c r="F20" s="22">
        <v>0</v>
      </c>
      <c r="G20" s="23">
        <f t="shared" si="0"/>
        <v>2.8</v>
      </c>
      <c r="H20" s="22">
        <v>2</v>
      </c>
      <c r="I20" s="23">
        <f t="shared" si="1"/>
        <v>0.7</v>
      </c>
      <c r="J20" s="22">
        <v>2</v>
      </c>
      <c r="K20" s="23">
        <f t="shared" si="2"/>
        <v>0.7</v>
      </c>
      <c r="L20" s="22">
        <v>2</v>
      </c>
      <c r="M20" s="23">
        <f t="shared" si="3"/>
        <v>0.7</v>
      </c>
      <c r="N20" s="22">
        <v>2</v>
      </c>
      <c r="O20" s="23">
        <f t="shared" si="4"/>
        <v>0.7</v>
      </c>
      <c r="P20" s="22">
        <v>1</v>
      </c>
      <c r="Q20" s="23">
        <f t="shared" si="5"/>
        <v>3.8</v>
      </c>
      <c r="R20" s="55">
        <f>G20+Q20</f>
        <v>6.6</v>
      </c>
      <c r="S20" s="24"/>
      <c r="T20" s="23">
        <v>3</v>
      </c>
      <c r="U20" s="23">
        <v>1</v>
      </c>
    </row>
    <row r="21" spans="1:21" ht="15" customHeight="1">
      <c r="A21" s="22">
        <v>12</v>
      </c>
      <c r="B21" s="45" t="str">
        <f>IF(A21="","",VLOOKUP(A21,Жеребьевка!$A$6:$C$45,2,0))</f>
        <v>Бондаренко Станислав Геннадьевич</v>
      </c>
      <c r="C21" s="36">
        <v>11</v>
      </c>
      <c r="D21" s="36">
        <v>1</v>
      </c>
      <c r="E21" s="52">
        <v>0.16944444444444443</v>
      </c>
      <c r="F21" s="22">
        <v>0</v>
      </c>
      <c r="G21" s="23">
        <f t="shared" si="0"/>
        <v>2.65</v>
      </c>
      <c r="H21" s="22">
        <v>0</v>
      </c>
      <c r="I21" s="23">
        <f t="shared" si="1"/>
        <v>0</v>
      </c>
      <c r="J21" s="22">
        <v>0</v>
      </c>
      <c r="K21" s="23">
        <f t="shared" si="2"/>
        <v>0</v>
      </c>
      <c r="L21" s="22">
        <v>0</v>
      </c>
      <c r="M21" s="23">
        <f t="shared" si="3"/>
        <v>0</v>
      </c>
      <c r="N21" s="22">
        <v>0</v>
      </c>
      <c r="O21" s="23">
        <f t="shared" si="4"/>
        <v>0</v>
      </c>
      <c r="P21" s="22">
        <v>1</v>
      </c>
      <c r="Q21" s="23">
        <f t="shared" si="5"/>
        <v>1</v>
      </c>
      <c r="R21" s="55">
        <v>0</v>
      </c>
      <c r="S21" s="24"/>
      <c r="T21" s="23">
        <v>4</v>
      </c>
      <c r="U21" s="23">
        <v>0.8</v>
      </c>
    </row>
    <row r="22" spans="1:21" ht="15" customHeight="1">
      <c r="A22" s="22">
        <v>13</v>
      </c>
      <c r="B22" s="45" t="str">
        <f>IF(A22="","",VLOOKUP(A22,Жеребьевка!$A$6:$C$45,2,0))</f>
        <v>Панкин Алексей Владимирович</v>
      </c>
      <c r="C22" s="36">
        <v>10</v>
      </c>
      <c r="D22" s="36">
        <v>1</v>
      </c>
      <c r="E22" s="52">
        <v>0.15</v>
      </c>
      <c r="F22" s="22">
        <v>0</v>
      </c>
      <c r="G22" s="23">
        <f t="shared" si="0"/>
        <v>2.5</v>
      </c>
      <c r="H22" s="22">
        <v>1</v>
      </c>
      <c r="I22" s="23">
        <f t="shared" si="1"/>
        <v>0.3</v>
      </c>
      <c r="J22" s="22">
        <v>1</v>
      </c>
      <c r="K22" s="23">
        <f t="shared" si="2"/>
        <v>0.3</v>
      </c>
      <c r="L22" s="22">
        <v>1</v>
      </c>
      <c r="M22" s="23">
        <f t="shared" si="3"/>
        <v>0.3</v>
      </c>
      <c r="N22" s="22">
        <v>1</v>
      </c>
      <c r="O22" s="23">
        <f t="shared" si="4"/>
        <v>0.3</v>
      </c>
      <c r="P22" s="22">
        <v>1</v>
      </c>
      <c r="Q22" s="23">
        <f t="shared" si="5"/>
        <v>2.2</v>
      </c>
      <c r="R22" s="55">
        <f>G22+Q22</f>
        <v>4.7</v>
      </c>
      <c r="S22" s="24"/>
      <c r="T22" s="23">
        <v>5</v>
      </c>
      <c r="U22" s="23">
        <v>0.4</v>
      </c>
    </row>
    <row r="23" spans="1:19" ht="15" customHeight="1">
      <c r="A23" s="22">
        <v>14</v>
      </c>
      <c r="B23" s="45" t="str">
        <f>IF(A23="","",VLOOKUP(A23,Жеребьевка!$A$6:$C$45,2,0))</f>
        <v>Скударнов Игорь Сергеевич</v>
      </c>
      <c r="C23" s="36">
        <v>12</v>
      </c>
      <c r="D23" s="36">
        <v>1</v>
      </c>
      <c r="E23" s="52">
        <v>0.14722222222222223</v>
      </c>
      <c r="F23" s="22">
        <v>0</v>
      </c>
      <c r="G23" s="23">
        <f t="shared" si="0"/>
        <v>2.8</v>
      </c>
      <c r="H23" s="22">
        <v>3</v>
      </c>
      <c r="I23" s="23">
        <f t="shared" si="1"/>
        <v>1</v>
      </c>
      <c r="J23" s="22">
        <v>3</v>
      </c>
      <c r="K23" s="23">
        <f t="shared" si="2"/>
        <v>1</v>
      </c>
      <c r="L23" s="22">
        <v>3</v>
      </c>
      <c r="M23" s="23">
        <f t="shared" si="3"/>
        <v>1</v>
      </c>
      <c r="N23" s="22">
        <v>2</v>
      </c>
      <c r="O23" s="23">
        <f t="shared" si="4"/>
        <v>0.7</v>
      </c>
      <c r="P23" s="22">
        <v>1</v>
      </c>
      <c r="Q23" s="23">
        <f t="shared" si="5"/>
        <v>4.7</v>
      </c>
      <c r="R23" s="55">
        <f>G23+Q23</f>
        <v>7.5</v>
      </c>
      <c r="S23" s="24"/>
    </row>
    <row r="24" spans="1:19" ht="15" customHeight="1">
      <c r="A24" s="22">
        <v>15</v>
      </c>
      <c r="B24" s="45" t="str">
        <f>IF(A24="","",VLOOKUP(A24,Жеребьевка!$A$6:$C$45,2,0))</f>
        <v>Грабилова Евгения Вячеславовна</v>
      </c>
      <c r="C24" s="36">
        <v>10</v>
      </c>
      <c r="D24" s="36">
        <v>0</v>
      </c>
      <c r="E24" s="52">
        <v>0.17361111111111113</v>
      </c>
      <c r="F24" s="22">
        <v>0</v>
      </c>
      <c r="G24" s="23">
        <f t="shared" si="0"/>
        <v>1.5</v>
      </c>
      <c r="H24" s="22">
        <v>0</v>
      </c>
      <c r="I24" s="23">
        <f t="shared" si="1"/>
        <v>0</v>
      </c>
      <c r="J24" s="22">
        <v>1</v>
      </c>
      <c r="K24" s="23">
        <f t="shared" si="2"/>
        <v>0.3</v>
      </c>
      <c r="L24" s="22">
        <v>1</v>
      </c>
      <c r="M24" s="23">
        <f t="shared" si="3"/>
        <v>0.3</v>
      </c>
      <c r="N24" s="22">
        <v>1</v>
      </c>
      <c r="O24" s="23">
        <f t="shared" si="4"/>
        <v>0.3</v>
      </c>
      <c r="P24" s="22">
        <v>0</v>
      </c>
      <c r="Q24" s="23">
        <f t="shared" si="5"/>
        <v>0.8999999999999999</v>
      </c>
      <c r="R24" s="55">
        <v>0</v>
      </c>
      <c r="S24" s="24"/>
    </row>
    <row r="25" spans="1:19" ht="15" customHeight="1">
      <c r="A25" s="22">
        <v>16</v>
      </c>
      <c r="B25" s="45" t="str">
        <f>IF(A25="","",VLOOKUP(A25,Жеребьевка!$A$6:$C$45,2,0))</f>
        <v>Поляков Денис Анатольевич</v>
      </c>
      <c r="C25" s="36">
        <v>8</v>
      </c>
      <c r="D25" s="36">
        <v>0</v>
      </c>
      <c r="E25" s="52">
        <v>0.09722222222222222</v>
      </c>
      <c r="F25" s="22">
        <v>0</v>
      </c>
      <c r="G25" s="23">
        <f t="shared" si="0"/>
        <v>1.2</v>
      </c>
      <c r="H25" s="22">
        <v>1</v>
      </c>
      <c r="I25" s="23">
        <f t="shared" si="1"/>
        <v>0.3</v>
      </c>
      <c r="J25" s="22">
        <v>1</v>
      </c>
      <c r="K25" s="23">
        <f t="shared" si="2"/>
        <v>0.3</v>
      </c>
      <c r="L25" s="22">
        <v>1</v>
      </c>
      <c r="M25" s="23">
        <f t="shared" si="3"/>
        <v>0.3</v>
      </c>
      <c r="N25" s="22">
        <v>1</v>
      </c>
      <c r="O25" s="23">
        <f t="shared" si="4"/>
        <v>0.3</v>
      </c>
      <c r="P25" s="22">
        <v>0</v>
      </c>
      <c r="Q25" s="23">
        <f t="shared" si="5"/>
        <v>1.2</v>
      </c>
      <c r="R25" s="55">
        <f aca="true" t="shared" si="7" ref="R25:R35">G25+Q25</f>
        <v>2.4</v>
      </c>
      <c r="S25" s="24"/>
    </row>
    <row r="26" spans="1:19" ht="15" customHeight="1">
      <c r="A26" s="22">
        <v>17</v>
      </c>
      <c r="B26" s="45" t="str">
        <f>IF(A26="","",VLOOKUP(A26,Жеребьевка!$A$6:$C$45,2,0))</f>
        <v>Ефремов Александр Николаевич</v>
      </c>
      <c r="C26" s="36">
        <v>11</v>
      </c>
      <c r="D26" s="36">
        <v>1</v>
      </c>
      <c r="E26" s="52">
        <v>0.14930555555555555</v>
      </c>
      <c r="F26" s="22">
        <v>0</v>
      </c>
      <c r="G26" s="23">
        <f t="shared" si="0"/>
        <v>2.65</v>
      </c>
      <c r="H26" s="22">
        <v>1</v>
      </c>
      <c r="I26" s="23">
        <f t="shared" si="1"/>
        <v>0.3</v>
      </c>
      <c r="J26" s="22">
        <v>2</v>
      </c>
      <c r="K26" s="23">
        <f t="shared" si="2"/>
        <v>0.7</v>
      </c>
      <c r="L26" s="22">
        <v>2</v>
      </c>
      <c r="M26" s="23">
        <f t="shared" si="3"/>
        <v>0.7</v>
      </c>
      <c r="N26" s="22">
        <v>2</v>
      </c>
      <c r="O26" s="23">
        <f t="shared" si="4"/>
        <v>0.7</v>
      </c>
      <c r="P26" s="22">
        <v>1</v>
      </c>
      <c r="Q26" s="23">
        <f t="shared" si="5"/>
        <v>3.4</v>
      </c>
      <c r="R26" s="55">
        <f t="shared" si="7"/>
        <v>6.05</v>
      </c>
      <c r="S26" s="24"/>
    </row>
    <row r="27" spans="1:19" ht="15" customHeight="1">
      <c r="A27" s="22">
        <v>18</v>
      </c>
      <c r="B27" s="45" t="str">
        <f>IF(A27="","",VLOOKUP(A27,Жеребьевка!$A$6:$C$45,2,0))</f>
        <v>Володина Анастасия Александровна</v>
      </c>
      <c r="C27" s="36">
        <v>11</v>
      </c>
      <c r="D27" s="36">
        <v>1</v>
      </c>
      <c r="E27" s="52">
        <v>0.13749999999999998</v>
      </c>
      <c r="F27" s="22">
        <v>0</v>
      </c>
      <c r="G27" s="23">
        <f t="shared" si="0"/>
        <v>2.65</v>
      </c>
      <c r="H27" s="22">
        <v>1</v>
      </c>
      <c r="I27" s="23">
        <f t="shared" si="1"/>
        <v>0.3</v>
      </c>
      <c r="J27" s="22">
        <v>2</v>
      </c>
      <c r="K27" s="23">
        <f t="shared" si="2"/>
        <v>0.7</v>
      </c>
      <c r="L27" s="22">
        <v>2</v>
      </c>
      <c r="M27" s="23">
        <f t="shared" si="3"/>
        <v>0.7</v>
      </c>
      <c r="N27" s="22">
        <v>2</v>
      </c>
      <c r="O27" s="23">
        <f t="shared" si="4"/>
        <v>0.7</v>
      </c>
      <c r="P27" s="22">
        <v>1</v>
      </c>
      <c r="Q27" s="23">
        <f t="shared" si="5"/>
        <v>3.4</v>
      </c>
      <c r="R27" s="55">
        <f t="shared" si="7"/>
        <v>6.05</v>
      </c>
      <c r="S27" s="24"/>
    </row>
    <row r="28" spans="1:19" ht="15" customHeight="1">
      <c r="A28" s="22">
        <v>19</v>
      </c>
      <c r="B28" s="45" t="str">
        <f>IF(A28="","",VLOOKUP(A28,Жеребьевка!$A$6:$C$45,2,0))</f>
        <v>Черных Максим Юрьевич</v>
      </c>
      <c r="C28" s="36">
        <v>8</v>
      </c>
      <c r="D28" s="36">
        <v>1</v>
      </c>
      <c r="E28" s="52">
        <v>0.16666666666666666</v>
      </c>
      <c r="F28" s="22">
        <v>0</v>
      </c>
      <c r="G28" s="23">
        <f t="shared" si="0"/>
        <v>2.2</v>
      </c>
      <c r="H28" s="22">
        <v>1</v>
      </c>
      <c r="I28" s="23">
        <f t="shared" si="1"/>
        <v>0.3</v>
      </c>
      <c r="J28" s="22">
        <v>1</v>
      </c>
      <c r="K28" s="23">
        <f t="shared" si="2"/>
        <v>0.3</v>
      </c>
      <c r="L28" s="22">
        <v>1</v>
      </c>
      <c r="M28" s="23">
        <f t="shared" si="3"/>
        <v>0.3</v>
      </c>
      <c r="N28" s="22">
        <v>2</v>
      </c>
      <c r="O28" s="23">
        <f t="shared" si="4"/>
        <v>0.7</v>
      </c>
      <c r="P28" s="22">
        <v>0</v>
      </c>
      <c r="Q28" s="23">
        <f t="shared" si="5"/>
        <v>1.5999999999999999</v>
      </c>
      <c r="R28" s="55">
        <f t="shared" si="7"/>
        <v>3.8</v>
      </c>
      <c r="S28" s="24"/>
    </row>
    <row r="29" spans="1:19" ht="15" customHeight="1">
      <c r="A29" s="22">
        <v>20</v>
      </c>
      <c r="B29" s="45" t="str">
        <f>IF(A29="","",VLOOKUP(A29,Жеребьевка!$A$6:$C$45,2,0))</f>
        <v>Королев Дмитрий Сергеевич</v>
      </c>
      <c r="C29" s="36">
        <v>12</v>
      </c>
      <c r="D29" s="36">
        <v>1</v>
      </c>
      <c r="E29" s="52">
        <v>0.12222222222222223</v>
      </c>
      <c r="F29" s="22">
        <v>0</v>
      </c>
      <c r="G29" s="23">
        <f t="shared" si="0"/>
        <v>2.8</v>
      </c>
      <c r="H29" s="22">
        <v>1</v>
      </c>
      <c r="I29" s="23">
        <f t="shared" si="1"/>
        <v>0.3</v>
      </c>
      <c r="J29" s="22">
        <v>2</v>
      </c>
      <c r="K29" s="23">
        <f t="shared" si="2"/>
        <v>0.7</v>
      </c>
      <c r="L29" s="22">
        <v>1</v>
      </c>
      <c r="M29" s="23">
        <f t="shared" si="3"/>
        <v>0.3</v>
      </c>
      <c r="N29" s="22">
        <v>1</v>
      </c>
      <c r="O29" s="23">
        <f t="shared" si="4"/>
        <v>0.3</v>
      </c>
      <c r="P29" s="22">
        <v>0</v>
      </c>
      <c r="Q29" s="23">
        <f t="shared" si="5"/>
        <v>1.6</v>
      </c>
      <c r="R29" s="55">
        <f t="shared" si="7"/>
        <v>4.4</v>
      </c>
      <c r="S29" s="24"/>
    </row>
    <row r="30" spans="1:19" ht="15" customHeight="1">
      <c r="A30" s="22">
        <v>21</v>
      </c>
      <c r="B30" s="45" t="str">
        <f>IF(A30="","",VLOOKUP(A30,Жеребьевка!$A$6:$C$45,2,0))</f>
        <v>Сазеев Илья Михайлович</v>
      </c>
      <c r="C30" s="36">
        <v>12</v>
      </c>
      <c r="D30" s="36">
        <v>1</v>
      </c>
      <c r="E30" s="52">
        <v>0.15555555555555556</v>
      </c>
      <c r="F30" s="22">
        <v>0.8</v>
      </c>
      <c r="G30" s="23">
        <f t="shared" si="0"/>
        <v>3.5999999999999996</v>
      </c>
      <c r="H30" s="22">
        <v>1</v>
      </c>
      <c r="I30" s="23">
        <f t="shared" si="1"/>
        <v>0.3</v>
      </c>
      <c r="J30" s="22">
        <v>1</v>
      </c>
      <c r="K30" s="23">
        <f t="shared" si="2"/>
        <v>0.3</v>
      </c>
      <c r="L30" s="22">
        <v>1</v>
      </c>
      <c r="M30" s="23">
        <f t="shared" si="3"/>
        <v>0.3</v>
      </c>
      <c r="N30" s="22">
        <v>1</v>
      </c>
      <c r="O30" s="23">
        <f t="shared" si="4"/>
        <v>0.3</v>
      </c>
      <c r="P30" s="22">
        <v>0</v>
      </c>
      <c r="Q30" s="23">
        <f t="shared" si="5"/>
        <v>1.2</v>
      </c>
      <c r="R30" s="55">
        <f t="shared" si="7"/>
        <v>4.8</v>
      </c>
      <c r="S30" s="24"/>
    </row>
    <row r="31" spans="1:19" ht="15" customHeight="1">
      <c r="A31" s="22">
        <v>22</v>
      </c>
      <c r="B31" s="45" t="str">
        <f>IF(A31="","",VLOOKUP(A31,Жеребьевка!$A$6:$C$45,2,0))</f>
        <v>Кузюк Валентина Павловна</v>
      </c>
      <c r="C31" s="36">
        <v>9</v>
      </c>
      <c r="D31" s="36">
        <v>1</v>
      </c>
      <c r="E31" s="52">
        <v>0.12291666666666667</v>
      </c>
      <c r="F31" s="22">
        <v>0</v>
      </c>
      <c r="G31" s="23">
        <f t="shared" si="0"/>
        <v>2.3499999999999996</v>
      </c>
      <c r="H31" s="22">
        <v>1</v>
      </c>
      <c r="I31" s="23">
        <f t="shared" si="1"/>
        <v>0.3</v>
      </c>
      <c r="J31" s="22">
        <v>1</v>
      </c>
      <c r="K31" s="23">
        <f t="shared" si="2"/>
        <v>0.3</v>
      </c>
      <c r="L31" s="22">
        <v>1</v>
      </c>
      <c r="M31" s="23">
        <f t="shared" si="3"/>
        <v>0.3</v>
      </c>
      <c r="N31" s="22">
        <v>1</v>
      </c>
      <c r="O31" s="23">
        <f t="shared" si="4"/>
        <v>0.3</v>
      </c>
      <c r="P31" s="22">
        <v>1</v>
      </c>
      <c r="Q31" s="23">
        <f t="shared" si="5"/>
        <v>2.2</v>
      </c>
      <c r="R31" s="55">
        <f t="shared" si="7"/>
        <v>4.55</v>
      </c>
      <c r="S31" s="24"/>
    </row>
    <row r="32" spans="1:19" ht="15" customHeight="1">
      <c r="A32" s="22">
        <v>23</v>
      </c>
      <c r="B32" s="45" t="str">
        <f>IF(A32="","",VLOOKUP(A32,Жеребьевка!$A$6:$C$45,2,0))</f>
        <v>Глуханюк Михаил Юрьевич</v>
      </c>
      <c r="C32" s="36">
        <v>10</v>
      </c>
      <c r="D32" s="36">
        <v>1</v>
      </c>
      <c r="E32" s="52">
        <v>0.11875000000000001</v>
      </c>
      <c r="F32" s="22">
        <v>0</v>
      </c>
      <c r="G32" s="23">
        <f t="shared" si="0"/>
        <v>2.5</v>
      </c>
      <c r="H32" s="22">
        <v>2</v>
      </c>
      <c r="I32" s="23">
        <f t="shared" si="1"/>
        <v>0.7</v>
      </c>
      <c r="J32" s="22">
        <v>2</v>
      </c>
      <c r="K32" s="23">
        <f t="shared" si="2"/>
        <v>0.7</v>
      </c>
      <c r="L32" s="22">
        <v>2</v>
      </c>
      <c r="M32" s="23">
        <f t="shared" si="3"/>
        <v>0.7</v>
      </c>
      <c r="N32" s="22">
        <v>2</v>
      </c>
      <c r="O32" s="23">
        <f t="shared" si="4"/>
        <v>0.7</v>
      </c>
      <c r="P32" s="22">
        <v>0</v>
      </c>
      <c r="Q32" s="23">
        <f t="shared" si="5"/>
        <v>2.8</v>
      </c>
      <c r="R32" s="55">
        <f t="shared" si="7"/>
        <v>5.3</v>
      </c>
      <c r="S32" s="24"/>
    </row>
    <row r="33" spans="1:19" ht="15" customHeight="1">
      <c r="A33" s="22">
        <v>24</v>
      </c>
      <c r="B33" s="45" t="str">
        <f>IF(A33="","",VLOOKUP(A33,Жеребьевка!$A$6:$C$45,2,0))</f>
        <v>Лобачёва Анжелика Юрьевна</v>
      </c>
      <c r="C33" s="36">
        <v>12</v>
      </c>
      <c r="D33" s="36">
        <v>1</v>
      </c>
      <c r="E33" s="52">
        <v>0.15694444444444444</v>
      </c>
      <c r="F33" s="56">
        <v>1.5</v>
      </c>
      <c r="G33" s="23">
        <f t="shared" si="0"/>
        <v>4.3</v>
      </c>
      <c r="H33" s="22">
        <v>2</v>
      </c>
      <c r="I33" s="23">
        <f t="shared" si="1"/>
        <v>0.7</v>
      </c>
      <c r="J33" s="22">
        <v>2</v>
      </c>
      <c r="K33" s="23">
        <f t="shared" si="2"/>
        <v>0.7</v>
      </c>
      <c r="L33" s="22">
        <v>2</v>
      </c>
      <c r="M33" s="23">
        <f t="shared" si="3"/>
        <v>0.7</v>
      </c>
      <c r="N33" s="22">
        <v>2</v>
      </c>
      <c r="O33" s="23">
        <f t="shared" si="4"/>
        <v>0.7</v>
      </c>
      <c r="P33" s="22">
        <v>1</v>
      </c>
      <c r="Q33" s="23">
        <f t="shared" si="5"/>
        <v>3.8</v>
      </c>
      <c r="R33" s="55">
        <f t="shared" si="7"/>
        <v>8.1</v>
      </c>
      <c r="S33" s="24"/>
    </row>
    <row r="34" spans="1:19" ht="15" customHeight="1">
      <c r="A34" s="22">
        <v>25</v>
      </c>
      <c r="B34" s="45" t="str">
        <f>IF(A34="","",VLOOKUP(A34,Жеребьевка!$A$6:$C$45,2,0))</f>
        <v>Пиженко Анатолий Александрович</v>
      </c>
      <c r="C34" s="36">
        <v>12</v>
      </c>
      <c r="D34" s="36">
        <v>1</v>
      </c>
      <c r="E34" s="52">
        <v>0.15972222222222224</v>
      </c>
      <c r="F34" s="22">
        <v>2</v>
      </c>
      <c r="G34" s="23">
        <f t="shared" si="0"/>
        <v>4.8</v>
      </c>
      <c r="H34" s="22">
        <v>3</v>
      </c>
      <c r="I34" s="23">
        <f t="shared" si="1"/>
        <v>1</v>
      </c>
      <c r="J34" s="22">
        <v>3</v>
      </c>
      <c r="K34" s="23">
        <f t="shared" si="2"/>
        <v>1</v>
      </c>
      <c r="L34" s="22">
        <v>3</v>
      </c>
      <c r="M34" s="23">
        <f t="shared" si="3"/>
        <v>1</v>
      </c>
      <c r="N34" s="22">
        <v>2</v>
      </c>
      <c r="O34" s="23">
        <f t="shared" si="4"/>
        <v>0.7</v>
      </c>
      <c r="P34" s="22">
        <v>0</v>
      </c>
      <c r="Q34" s="23">
        <f t="shared" si="5"/>
        <v>3.7</v>
      </c>
      <c r="R34" s="55">
        <f t="shared" si="7"/>
        <v>8.5</v>
      </c>
      <c r="S34" s="24"/>
    </row>
    <row r="35" spans="1:19" ht="15" customHeight="1">
      <c r="A35" s="22">
        <v>26</v>
      </c>
      <c r="B35" s="45" t="str">
        <f>IF(A35="","",VLOOKUP(A35,Жеребьевка!$A$6:$C$45,2,0))</f>
        <v>Полещук Юлия Викторовна</v>
      </c>
      <c r="C35" s="36">
        <v>11</v>
      </c>
      <c r="D35" s="36">
        <v>1</v>
      </c>
      <c r="E35" s="52">
        <v>0.12638888888888888</v>
      </c>
      <c r="F35" s="22">
        <v>0</v>
      </c>
      <c r="G35" s="23">
        <f t="shared" si="0"/>
        <v>2.65</v>
      </c>
      <c r="H35" s="22">
        <v>2</v>
      </c>
      <c r="I35" s="23">
        <f t="shared" si="1"/>
        <v>0.7</v>
      </c>
      <c r="J35" s="22">
        <v>2</v>
      </c>
      <c r="K35" s="23">
        <f t="shared" si="2"/>
        <v>0.7</v>
      </c>
      <c r="L35" s="22">
        <v>2</v>
      </c>
      <c r="M35" s="23">
        <f t="shared" si="3"/>
        <v>0.7</v>
      </c>
      <c r="N35" s="22">
        <v>3</v>
      </c>
      <c r="O35" s="23">
        <f t="shared" si="4"/>
        <v>1</v>
      </c>
      <c r="P35" s="22">
        <v>1</v>
      </c>
      <c r="Q35" s="23">
        <f t="shared" si="5"/>
        <v>4.1</v>
      </c>
      <c r="R35" s="55">
        <f t="shared" si="7"/>
        <v>6.75</v>
      </c>
      <c r="S35" s="24"/>
    </row>
    <row r="36" spans="1:19" ht="15" customHeight="1">
      <c r="A36" s="22">
        <v>27</v>
      </c>
      <c r="B36" s="45" t="str">
        <f>IF(A36="","",VLOOKUP(A36,Жеребьевка!$A$6:$C$45,2,0))</f>
        <v>Прохорова Ольга Викторовна</v>
      </c>
      <c r="C36" s="36">
        <v>9</v>
      </c>
      <c r="D36" s="36">
        <v>1</v>
      </c>
      <c r="E36" s="52">
        <v>0.17916666666666667</v>
      </c>
      <c r="F36" s="22">
        <v>0</v>
      </c>
      <c r="G36" s="23">
        <f t="shared" si="0"/>
        <v>2.3499999999999996</v>
      </c>
      <c r="H36" s="22">
        <v>0</v>
      </c>
      <c r="I36" s="23">
        <f t="shared" si="1"/>
        <v>0</v>
      </c>
      <c r="J36" s="22">
        <v>0</v>
      </c>
      <c r="K36" s="23">
        <f t="shared" si="2"/>
        <v>0</v>
      </c>
      <c r="L36" s="22">
        <v>0</v>
      </c>
      <c r="M36" s="23">
        <f t="shared" si="3"/>
        <v>0</v>
      </c>
      <c r="N36" s="22">
        <v>0</v>
      </c>
      <c r="O36" s="23">
        <f t="shared" si="4"/>
        <v>0</v>
      </c>
      <c r="P36" s="22">
        <v>0</v>
      </c>
      <c r="Q36" s="23">
        <f t="shared" si="5"/>
        <v>0</v>
      </c>
      <c r="R36" s="55">
        <v>0</v>
      </c>
      <c r="S36" s="24"/>
    </row>
    <row r="37" spans="1:19" ht="15" customHeight="1">
      <c r="A37" s="22">
        <v>28</v>
      </c>
      <c r="B37" s="45" t="str">
        <f>IF(A37="","",VLOOKUP(A37,Жеребьевка!$A$6:$C$45,2,0))</f>
        <v>Филатов Александр Валерьевич</v>
      </c>
      <c r="C37" s="36">
        <v>11</v>
      </c>
      <c r="D37" s="36">
        <v>1</v>
      </c>
      <c r="E37" s="52">
        <v>0.14027777777777778</v>
      </c>
      <c r="F37" s="22">
        <v>0</v>
      </c>
      <c r="G37" s="23">
        <f t="shared" si="0"/>
        <v>2.65</v>
      </c>
      <c r="H37" s="22">
        <v>1</v>
      </c>
      <c r="I37" s="23">
        <f t="shared" si="1"/>
        <v>0.3</v>
      </c>
      <c r="J37" s="22">
        <v>1</v>
      </c>
      <c r="K37" s="23">
        <f t="shared" si="2"/>
        <v>0.3</v>
      </c>
      <c r="L37" s="22">
        <v>1</v>
      </c>
      <c r="M37" s="23">
        <f t="shared" si="3"/>
        <v>0.3</v>
      </c>
      <c r="N37" s="22">
        <v>1</v>
      </c>
      <c r="O37" s="23">
        <f t="shared" si="4"/>
        <v>0.3</v>
      </c>
      <c r="P37" s="22">
        <v>1</v>
      </c>
      <c r="Q37" s="23">
        <f t="shared" si="5"/>
        <v>2.2</v>
      </c>
      <c r="R37" s="55">
        <f>G37+Q37</f>
        <v>4.85</v>
      </c>
      <c r="S37" s="24"/>
    </row>
    <row r="38" spans="1:19" ht="15" customHeight="1">
      <c r="A38" s="22">
        <v>29</v>
      </c>
      <c r="B38" s="45" t="str">
        <f>IF(A38="","",VLOOKUP(A38,Жеребьевка!$A$6:$C$45,2,0))</f>
        <v>Шереверов Алексей Юрьевич</v>
      </c>
      <c r="C38" s="36">
        <v>8</v>
      </c>
      <c r="D38" s="36">
        <v>1</v>
      </c>
      <c r="E38" s="52">
        <v>0.08541666666666665</v>
      </c>
      <c r="F38" s="22">
        <v>0</v>
      </c>
      <c r="G38" s="23">
        <f t="shared" si="0"/>
        <v>2.2</v>
      </c>
      <c r="H38" s="22">
        <v>1</v>
      </c>
      <c r="I38" s="23">
        <f t="shared" si="1"/>
        <v>0.3</v>
      </c>
      <c r="J38" s="22">
        <v>1</v>
      </c>
      <c r="K38" s="23">
        <f t="shared" si="2"/>
        <v>0.3</v>
      </c>
      <c r="L38" s="22">
        <v>1</v>
      </c>
      <c r="M38" s="23">
        <f t="shared" si="3"/>
        <v>0.3</v>
      </c>
      <c r="N38" s="22">
        <v>2</v>
      </c>
      <c r="O38" s="23">
        <f t="shared" si="4"/>
        <v>0.7</v>
      </c>
      <c r="P38" s="22">
        <v>0</v>
      </c>
      <c r="Q38" s="23">
        <f t="shared" si="5"/>
        <v>1.5999999999999999</v>
      </c>
      <c r="R38" s="55">
        <f>G38+Q38</f>
        <v>3.8</v>
      </c>
      <c r="S38" s="24"/>
    </row>
    <row r="39" spans="1:19" ht="15" customHeight="1">
      <c r="A39" s="22">
        <v>30</v>
      </c>
      <c r="B39" s="45" t="str">
        <f>IF(A39="","",VLOOKUP(A39,Жеребьевка!$A$6:$C$45,2,0))</f>
        <v>Дикова Ирина Владимировна</v>
      </c>
      <c r="C39" s="36">
        <v>12</v>
      </c>
      <c r="D39" s="36">
        <v>1</v>
      </c>
      <c r="E39" s="52">
        <v>0.15694444444444444</v>
      </c>
      <c r="F39" s="56">
        <v>1.5</v>
      </c>
      <c r="G39" s="23">
        <f t="shared" si="0"/>
        <v>4.3</v>
      </c>
      <c r="H39" s="22">
        <v>2</v>
      </c>
      <c r="I39" s="23">
        <f t="shared" si="1"/>
        <v>0.7</v>
      </c>
      <c r="J39" s="22">
        <v>2</v>
      </c>
      <c r="K39" s="23">
        <f t="shared" si="2"/>
        <v>0.7</v>
      </c>
      <c r="L39" s="22">
        <v>2</v>
      </c>
      <c r="M39" s="23">
        <f t="shared" si="3"/>
        <v>0.7</v>
      </c>
      <c r="N39" s="22">
        <v>3</v>
      </c>
      <c r="O39" s="23">
        <f t="shared" si="4"/>
        <v>1</v>
      </c>
      <c r="P39" s="22">
        <v>1</v>
      </c>
      <c r="Q39" s="23">
        <f t="shared" si="5"/>
        <v>4.1</v>
      </c>
      <c r="R39" s="55">
        <f>G39+Q39</f>
        <v>8.399999999999999</v>
      </c>
      <c r="S39" s="24"/>
    </row>
    <row r="40" spans="1:19" ht="15" customHeight="1">
      <c r="A40" s="22">
        <v>31</v>
      </c>
      <c r="B40" s="45" t="str">
        <f>IF(A40="","",VLOOKUP(A40,Жеребьевка!$A$6:$C$45,2,0))</f>
        <v>Демина Кристина Альбертовна</v>
      </c>
      <c r="C40" s="36">
        <v>11</v>
      </c>
      <c r="D40" s="36">
        <v>1</v>
      </c>
      <c r="E40" s="52">
        <v>0.16805555555555554</v>
      </c>
      <c r="F40" s="22">
        <v>0</v>
      </c>
      <c r="G40" s="23">
        <f t="shared" si="0"/>
        <v>2.65</v>
      </c>
      <c r="H40" s="22">
        <v>1</v>
      </c>
      <c r="I40" s="23">
        <f t="shared" si="1"/>
        <v>0.3</v>
      </c>
      <c r="J40" s="22">
        <v>1</v>
      </c>
      <c r="K40" s="23">
        <f t="shared" si="2"/>
        <v>0.3</v>
      </c>
      <c r="L40" s="22">
        <v>2</v>
      </c>
      <c r="M40" s="23">
        <f t="shared" si="3"/>
        <v>0.7</v>
      </c>
      <c r="N40" s="22">
        <v>3</v>
      </c>
      <c r="O40" s="23">
        <f t="shared" si="4"/>
        <v>1</v>
      </c>
      <c r="P40" s="22">
        <v>0</v>
      </c>
      <c r="Q40" s="23">
        <f t="shared" si="5"/>
        <v>2.3</v>
      </c>
      <c r="R40" s="55">
        <v>0</v>
      </c>
      <c r="S40" s="24"/>
    </row>
    <row r="41" spans="1:19" ht="15" customHeight="1">
      <c r="A41" s="22">
        <v>32</v>
      </c>
      <c r="B41" s="45" t="str">
        <f>IF(A41="","",VLOOKUP(A41,Жеребьевка!$A$6:$C$45,2,0))</f>
        <v>Долганов Никита Вячеславович</v>
      </c>
      <c r="C41" s="36">
        <v>12</v>
      </c>
      <c r="D41" s="36">
        <v>1</v>
      </c>
      <c r="E41" s="52">
        <v>0.13402777777777777</v>
      </c>
      <c r="F41" s="22">
        <v>0</v>
      </c>
      <c r="G41" s="23">
        <f t="shared" si="0"/>
        <v>2.8</v>
      </c>
      <c r="H41" s="22">
        <v>2</v>
      </c>
      <c r="I41" s="23">
        <f t="shared" si="1"/>
        <v>0.7</v>
      </c>
      <c r="J41" s="22">
        <v>1</v>
      </c>
      <c r="K41" s="23">
        <f t="shared" si="2"/>
        <v>0.3</v>
      </c>
      <c r="L41" s="22">
        <v>1</v>
      </c>
      <c r="M41" s="23">
        <f t="shared" si="3"/>
        <v>0.3</v>
      </c>
      <c r="N41" s="22">
        <v>1</v>
      </c>
      <c r="O41" s="23">
        <f t="shared" si="4"/>
        <v>0.3</v>
      </c>
      <c r="P41" s="22">
        <v>1</v>
      </c>
      <c r="Q41" s="23">
        <f t="shared" si="5"/>
        <v>2.6</v>
      </c>
      <c r="R41" s="55">
        <f>G41+Q41</f>
        <v>5.4</v>
      </c>
      <c r="S41" s="24"/>
    </row>
    <row r="42" spans="1:19" ht="15" customHeight="1">
      <c r="A42" s="22">
        <v>33</v>
      </c>
      <c r="B42" s="45" t="str">
        <f>IF(A42="","",VLOOKUP(A42,Жеребьевка!$A$6:$C$45,2,0))</f>
        <v>Панин Сергей Эдуардович</v>
      </c>
      <c r="C42" s="36">
        <v>12</v>
      </c>
      <c r="D42" s="36">
        <v>1</v>
      </c>
      <c r="E42" s="52">
        <v>0.14375000000000002</v>
      </c>
      <c r="F42" s="22">
        <v>0</v>
      </c>
      <c r="G42" s="23">
        <f t="shared" si="0"/>
        <v>2.8</v>
      </c>
      <c r="H42" s="22">
        <v>3</v>
      </c>
      <c r="I42" s="23">
        <f t="shared" si="1"/>
        <v>1</v>
      </c>
      <c r="J42" s="22">
        <v>2</v>
      </c>
      <c r="K42" s="23">
        <f t="shared" si="2"/>
        <v>0.7</v>
      </c>
      <c r="L42" s="22">
        <v>2</v>
      </c>
      <c r="M42" s="23">
        <f t="shared" si="3"/>
        <v>0.7</v>
      </c>
      <c r="N42" s="22">
        <v>2</v>
      </c>
      <c r="O42" s="23">
        <f t="shared" si="4"/>
        <v>0.7</v>
      </c>
      <c r="P42" s="22">
        <v>1</v>
      </c>
      <c r="Q42" s="23">
        <f t="shared" si="5"/>
        <v>4.1</v>
      </c>
      <c r="R42" s="55">
        <f>G42+Q42</f>
        <v>6.8999999999999995</v>
      </c>
      <c r="S42" s="24"/>
    </row>
    <row r="43" spans="1:19" ht="15" customHeight="1">
      <c r="A43" s="22">
        <v>34</v>
      </c>
      <c r="B43" s="45" t="str">
        <f>IF(A43="","",VLOOKUP(A43,Жеребьевка!$A$6:$C$45,2,0))</f>
        <v>Шучалова Татьяна Владимировна</v>
      </c>
      <c r="C43" s="36">
        <v>11</v>
      </c>
      <c r="D43" s="36">
        <v>1</v>
      </c>
      <c r="E43" s="52">
        <v>0.09444444444444444</v>
      </c>
      <c r="F43" s="22">
        <v>0</v>
      </c>
      <c r="G43" s="23">
        <f t="shared" si="0"/>
        <v>2.65</v>
      </c>
      <c r="H43" s="22">
        <v>1</v>
      </c>
      <c r="I43" s="23">
        <f t="shared" si="1"/>
        <v>0.3</v>
      </c>
      <c r="J43" s="22">
        <v>1</v>
      </c>
      <c r="K43" s="23">
        <f t="shared" si="2"/>
        <v>0.3</v>
      </c>
      <c r="L43" s="22">
        <v>2</v>
      </c>
      <c r="M43" s="23">
        <f t="shared" si="3"/>
        <v>0.7</v>
      </c>
      <c r="N43" s="22">
        <v>3</v>
      </c>
      <c r="O43" s="23">
        <f t="shared" si="4"/>
        <v>1</v>
      </c>
      <c r="P43" s="22">
        <v>0</v>
      </c>
      <c r="Q43" s="23">
        <f t="shared" si="5"/>
        <v>2.3</v>
      </c>
      <c r="R43" s="55">
        <f>G43+Q43</f>
        <v>4.949999999999999</v>
      </c>
      <c r="S43" s="24"/>
    </row>
    <row r="44" spans="1:19" ht="15" customHeight="1">
      <c r="A44" s="22">
        <v>35</v>
      </c>
      <c r="B44" s="45" t="str">
        <f>IF(A44="","",VLOOKUP(A44,Жеребьевка!$A$6:$C$45,2,0))</f>
        <v>Гнусов Павел Михайлович</v>
      </c>
      <c r="C44" s="36">
        <v>12</v>
      </c>
      <c r="D44" s="36">
        <v>1</v>
      </c>
      <c r="E44" s="52">
        <v>0.15555555555555556</v>
      </c>
      <c r="F44" s="22">
        <v>0.8</v>
      </c>
      <c r="G44" s="23">
        <f t="shared" si="0"/>
        <v>3.5999999999999996</v>
      </c>
      <c r="H44" s="22">
        <v>2</v>
      </c>
      <c r="I44" s="23">
        <f t="shared" si="1"/>
        <v>0.7</v>
      </c>
      <c r="J44" s="22">
        <v>2</v>
      </c>
      <c r="K44" s="23">
        <f t="shared" si="2"/>
        <v>0.7</v>
      </c>
      <c r="L44" s="22">
        <v>3</v>
      </c>
      <c r="M44" s="23">
        <f t="shared" si="3"/>
        <v>1</v>
      </c>
      <c r="N44" s="22">
        <v>3</v>
      </c>
      <c r="O44" s="23">
        <f t="shared" si="4"/>
        <v>1</v>
      </c>
      <c r="P44" s="22">
        <v>0</v>
      </c>
      <c r="Q44" s="23">
        <f t="shared" si="5"/>
        <v>3.4</v>
      </c>
      <c r="R44" s="55">
        <f>G44+Q44</f>
        <v>7</v>
      </c>
      <c r="S44" s="24"/>
    </row>
    <row r="45" spans="1:19" ht="15" customHeight="1">
      <c r="A45" s="22">
        <v>36</v>
      </c>
      <c r="B45" s="45" t="str">
        <f>IF(A45="","",VLOOKUP(A45,Жеребьевка!$A$6:$C$45,2,0))</f>
        <v>Гайнутдинова Асия Фаридовна</v>
      </c>
      <c r="C45" s="36">
        <v>11</v>
      </c>
      <c r="D45" s="36">
        <v>1</v>
      </c>
      <c r="E45" s="52">
        <v>0.14722222222222223</v>
      </c>
      <c r="F45" s="22">
        <v>0</v>
      </c>
      <c r="G45" s="23">
        <f t="shared" si="0"/>
        <v>2.65</v>
      </c>
      <c r="H45" s="22">
        <v>3</v>
      </c>
      <c r="I45" s="23">
        <f t="shared" si="1"/>
        <v>1</v>
      </c>
      <c r="J45" s="22">
        <v>3</v>
      </c>
      <c r="K45" s="23">
        <f t="shared" si="2"/>
        <v>1</v>
      </c>
      <c r="L45" s="22">
        <v>2</v>
      </c>
      <c r="M45" s="23">
        <f t="shared" si="3"/>
        <v>0.7</v>
      </c>
      <c r="N45" s="22">
        <v>2</v>
      </c>
      <c r="O45" s="23">
        <f t="shared" si="4"/>
        <v>0.7</v>
      </c>
      <c r="P45" s="22">
        <v>0</v>
      </c>
      <c r="Q45" s="23">
        <f t="shared" si="5"/>
        <v>3.4000000000000004</v>
      </c>
      <c r="R45" s="55">
        <f>G45+Q45</f>
        <v>6.050000000000001</v>
      </c>
      <c r="S45" s="24"/>
    </row>
  </sheetData>
  <sheetProtection password="C61B" sheet="1"/>
  <mergeCells count="25">
    <mergeCell ref="M8:M9"/>
    <mergeCell ref="N8:N9"/>
    <mergeCell ref="T16:U16"/>
    <mergeCell ref="O8:O9"/>
    <mergeCell ref="P8:P9"/>
    <mergeCell ref="Q8:Q9"/>
    <mergeCell ref="R8:R9"/>
    <mergeCell ref="T8:T10"/>
    <mergeCell ref="U8:U10"/>
    <mergeCell ref="G8:G9"/>
    <mergeCell ref="H8:H9"/>
    <mergeCell ref="I8:I9"/>
    <mergeCell ref="J8:J9"/>
    <mergeCell ref="K8:K9"/>
    <mergeCell ref="L8:L9"/>
    <mergeCell ref="A7:A9"/>
    <mergeCell ref="B7:B9"/>
    <mergeCell ref="A3:R3"/>
    <mergeCell ref="A5:R5"/>
    <mergeCell ref="C7:G7"/>
    <mergeCell ref="H7:N7"/>
    <mergeCell ref="C8:C9"/>
    <mergeCell ref="D8:D9"/>
    <mergeCell ref="E8:E9"/>
    <mergeCell ref="F8:F9"/>
  </mergeCells>
  <conditionalFormatting sqref="R10:R45">
    <cfRule type="cellIs" priority="1" dxfId="0" operator="equal" stopIfTrue="1">
      <formula>1</formula>
    </cfRule>
  </conditionalFormatting>
  <printOptions/>
  <pageMargins left="0.31496062992125984" right="0.31496062992125984" top="0.15748031496062992" bottom="0.15748031496062992" header="0" footer="0"/>
  <pageSetup fitToWidth="2" fitToHeight="1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E45"/>
  <sheetViews>
    <sheetView zoomScalePageLayoutView="0" workbookViewId="0" topLeftCell="AB20">
      <selection activeCell="AQ30" sqref="AQ30"/>
    </sheetView>
  </sheetViews>
  <sheetFormatPr defaultColWidth="9.140625" defaultRowHeight="15"/>
  <cols>
    <col min="1" max="1" width="4.8515625" style="33" customWidth="1"/>
    <col min="2" max="2" width="34.7109375" style="33" customWidth="1"/>
    <col min="3" max="6" width="6.421875" style="33" customWidth="1"/>
    <col min="7" max="10" width="6.421875" style="33" hidden="1" customWidth="1"/>
    <col min="11" max="12" width="6.421875" style="33" customWidth="1"/>
    <col min="13" max="13" width="13.00390625" style="33" customWidth="1"/>
    <col min="14" max="16" width="6.421875" style="33" customWidth="1"/>
    <col min="17" max="20" width="6.421875" style="33" hidden="1" customWidth="1"/>
    <col min="21" max="23" width="6.421875" style="33" customWidth="1"/>
    <col min="24" max="27" width="6.421875" style="33" hidden="1" customWidth="1"/>
    <col min="28" max="30" width="6.421875" style="33" customWidth="1"/>
    <col min="31" max="34" width="6.421875" style="33" hidden="1" customWidth="1"/>
    <col min="35" max="36" width="6.421875" style="33" customWidth="1"/>
    <col min="37" max="37" width="8.00390625" style="33" customWidth="1"/>
    <col min="38" max="42" width="6.421875" style="33" customWidth="1"/>
    <col min="43" max="43" width="9.140625" style="33" customWidth="1"/>
    <col min="44" max="44" width="14.57421875" style="33" customWidth="1"/>
    <col min="45" max="45" width="6.421875" style="33" customWidth="1"/>
    <col min="46" max="48" width="7.140625" style="33" customWidth="1"/>
    <col min="49" max="50" width="6.421875" style="33" customWidth="1"/>
    <col min="51" max="55" width="6.421875" style="33" hidden="1" customWidth="1"/>
    <col min="56" max="56" width="8.421875" style="33" customWidth="1"/>
    <col min="57" max="58" width="9.421875" style="33" customWidth="1"/>
    <col min="59" max="59" width="8.00390625" style="33" customWidth="1"/>
    <col min="60" max="61" width="7.8515625" style="33" customWidth="1"/>
    <col min="62" max="63" width="9.140625" style="33" customWidth="1"/>
    <col min="64" max="64" width="4.8515625" style="33" customWidth="1"/>
    <col min="65" max="83" width="4.8515625" style="33" hidden="1" customWidth="1"/>
    <col min="84" max="104" width="9.140625" style="33" customWidth="1"/>
    <col min="105" max="16384" width="9.140625" style="33" customWidth="1"/>
  </cols>
  <sheetData>
    <row r="3" spans="1:60" ht="12.75">
      <c r="A3" s="92" t="s">
        <v>145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</row>
    <row r="5" spans="1:60" ht="12.75">
      <c r="A5" s="93" t="s">
        <v>152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</row>
    <row r="7" spans="1:61" ht="12.75" customHeight="1">
      <c r="A7" s="99" t="s">
        <v>0</v>
      </c>
      <c r="B7" s="100" t="s">
        <v>6</v>
      </c>
      <c r="C7" s="103" t="s">
        <v>36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58"/>
    </row>
    <row r="8" spans="1:61" ht="12.75" customHeight="1">
      <c r="A8" s="99"/>
      <c r="B8" s="101"/>
      <c r="C8" s="98" t="s">
        <v>37</v>
      </c>
      <c r="D8" s="98"/>
      <c r="E8" s="98"/>
      <c r="F8" s="98" t="s">
        <v>38</v>
      </c>
      <c r="G8" s="98"/>
      <c r="H8" s="98"/>
      <c r="I8" s="98"/>
      <c r="J8" s="98"/>
      <c r="K8" s="98"/>
      <c r="L8" s="98"/>
      <c r="M8" s="110" t="s">
        <v>39</v>
      </c>
      <c r="N8" s="111"/>
      <c r="O8" s="112"/>
      <c r="P8" s="98" t="s">
        <v>40</v>
      </c>
      <c r="Q8" s="98"/>
      <c r="R8" s="98"/>
      <c r="S8" s="98"/>
      <c r="T8" s="98"/>
      <c r="U8" s="98"/>
      <c r="V8" s="98"/>
      <c r="W8" s="98" t="s">
        <v>41</v>
      </c>
      <c r="X8" s="98"/>
      <c r="Y8" s="98"/>
      <c r="Z8" s="98"/>
      <c r="AA8" s="98"/>
      <c r="AB8" s="98"/>
      <c r="AC8" s="98"/>
      <c r="AD8" s="98" t="s">
        <v>42</v>
      </c>
      <c r="AE8" s="98"/>
      <c r="AF8" s="98"/>
      <c r="AG8" s="98"/>
      <c r="AH8" s="98"/>
      <c r="AI8" s="98"/>
      <c r="AJ8" s="98"/>
      <c r="AK8" s="104" t="s">
        <v>43</v>
      </c>
      <c r="AL8" s="105"/>
      <c r="AM8" s="105"/>
      <c r="AN8" s="105"/>
      <c r="AO8" s="105"/>
      <c r="AP8" s="106"/>
      <c r="AQ8" s="104" t="s">
        <v>44</v>
      </c>
      <c r="AR8" s="105"/>
      <c r="AS8" s="106"/>
      <c r="AT8" s="104" t="s">
        <v>45</v>
      </c>
      <c r="AU8" s="105"/>
      <c r="AV8" s="105"/>
      <c r="AW8" s="105"/>
      <c r="AX8" s="106"/>
      <c r="AY8" s="107" t="s">
        <v>46</v>
      </c>
      <c r="AZ8" s="107"/>
      <c r="BA8" s="107"/>
      <c r="BB8" s="107"/>
      <c r="BC8" s="107"/>
      <c r="BD8" s="108" t="s">
        <v>47</v>
      </c>
      <c r="BE8" s="94" t="s">
        <v>48</v>
      </c>
      <c r="BF8" s="94" t="s">
        <v>7</v>
      </c>
      <c r="BG8" s="94" t="s">
        <v>4</v>
      </c>
      <c r="BH8" s="96" t="s">
        <v>8</v>
      </c>
      <c r="BI8" s="61"/>
    </row>
    <row r="9" spans="1:83" ht="12.75">
      <c r="A9" s="99"/>
      <c r="B9" s="102"/>
      <c r="C9" s="14" t="s">
        <v>49</v>
      </c>
      <c r="D9" s="14" t="s">
        <v>50</v>
      </c>
      <c r="E9" s="27" t="s">
        <v>7</v>
      </c>
      <c r="F9" s="34" t="s">
        <v>2</v>
      </c>
      <c r="G9" s="59" t="s">
        <v>51</v>
      </c>
      <c r="H9" s="34">
        <v>8</v>
      </c>
      <c r="I9" s="34">
        <v>33</v>
      </c>
      <c r="J9" s="34">
        <v>39</v>
      </c>
      <c r="K9" s="26" t="s">
        <v>52</v>
      </c>
      <c r="L9" s="27" t="s">
        <v>7</v>
      </c>
      <c r="M9" s="34" t="s">
        <v>53</v>
      </c>
      <c r="N9" s="59" t="s">
        <v>51</v>
      </c>
      <c r="O9" s="27" t="s">
        <v>7</v>
      </c>
      <c r="P9" s="34" t="s">
        <v>2</v>
      </c>
      <c r="Q9" s="59" t="s">
        <v>51</v>
      </c>
      <c r="R9" s="34">
        <v>9</v>
      </c>
      <c r="S9" s="34">
        <v>6</v>
      </c>
      <c r="T9" s="34">
        <v>12</v>
      </c>
      <c r="U9" s="26" t="s">
        <v>52</v>
      </c>
      <c r="V9" s="27" t="s">
        <v>7</v>
      </c>
      <c r="W9" s="14" t="s">
        <v>2</v>
      </c>
      <c r="X9" s="59" t="s">
        <v>51</v>
      </c>
      <c r="Y9" s="25">
        <v>4.8</v>
      </c>
      <c r="Z9" s="14">
        <v>1.8</v>
      </c>
      <c r="AA9" s="14">
        <v>7.8</v>
      </c>
      <c r="AB9" s="26" t="s">
        <v>52</v>
      </c>
      <c r="AC9" s="27" t="s">
        <v>7</v>
      </c>
      <c r="AD9" s="14" t="s">
        <v>2</v>
      </c>
      <c r="AE9" s="59" t="s">
        <v>51</v>
      </c>
      <c r="AF9" s="14">
        <v>10.8</v>
      </c>
      <c r="AG9" s="14">
        <v>7.8</v>
      </c>
      <c r="AH9" s="14">
        <v>13.8</v>
      </c>
      <c r="AI9" s="26" t="s">
        <v>52</v>
      </c>
      <c r="AJ9" s="27" t="s">
        <v>7</v>
      </c>
      <c r="AK9" s="14" t="s">
        <v>54</v>
      </c>
      <c r="AL9" s="14" t="s">
        <v>55</v>
      </c>
      <c r="AM9" s="14" t="s">
        <v>56</v>
      </c>
      <c r="AN9" s="14" t="s">
        <v>57</v>
      </c>
      <c r="AO9" s="26" t="s">
        <v>51</v>
      </c>
      <c r="AP9" s="27" t="s">
        <v>7</v>
      </c>
      <c r="AQ9" s="14" t="s">
        <v>58</v>
      </c>
      <c r="AR9" s="62" t="s">
        <v>59</v>
      </c>
      <c r="AS9" s="27" t="s">
        <v>7</v>
      </c>
      <c r="AT9" s="14" t="s">
        <v>54</v>
      </c>
      <c r="AU9" s="14" t="s">
        <v>60</v>
      </c>
      <c r="AV9" s="14" t="s">
        <v>61</v>
      </c>
      <c r="AW9" s="26" t="s">
        <v>51</v>
      </c>
      <c r="AX9" s="27" t="s">
        <v>7</v>
      </c>
      <c r="AY9" s="26" t="s">
        <v>62</v>
      </c>
      <c r="AZ9" s="26" t="s">
        <v>63</v>
      </c>
      <c r="BA9" s="26" t="s">
        <v>64</v>
      </c>
      <c r="BB9" s="26" t="s">
        <v>65</v>
      </c>
      <c r="BC9" s="63" t="s">
        <v>7</v>
      </c>
      <c r="BD9" s="109"/>
      <c r="BE9" s="95"/>
      <c r="BF9" s="95"/>
      <c r="BG9" s="95"/>
      <c r="BH9" s="97"/>
      <c r="BI9" s="61"/>
      <c r="BJ9" s="60" t="s">
        <v>3</v>
      </c>
      <c r="BK9" s="60" t="s">
        <v>4</v>
      </c>
      <c r="BM9" s="98">
        <v>2</v>
      </c>
      <c r="BN9" s="98"/>
      <c r="BO9" s="98"/>
      <c r="BP9" s="98"/>
      <c r="BR9" s="98">
        <v>4</v>
      </c>
      <c r="BS9" s="98"/>
      <c r="BT9" s="98"/>
      <c r="BU9" s="98"/>
      <c r="BW9" s="98">
        <v>5</v>
      </c>
      <c r="BX9" s="98"/>
      <c r="BY9" s="98"/>
      <c r="BZ9" s="98"/>
      <c r="CB9" s="98">
        <v>6</v>
      </c>
      <c r="CC9" s="98"/>
      <c r="CD9" s="98"/>
      <c r="CE9" s="98"/>
    </row>
    <row r="10" spans="1:83" ht="12.75" customHeight="1">
      <c r="A10" s="34">
        <v>1</v>
      </c>
      <c r="B10" s="54" t="str">
        <f>IF(A10="","",VLOOKUP(A10,Жеребьевка!$A$6:$C$45,2,0))</f>
        <v>Шибин Евгений Владимирович</v>
      </c>
      <c r="C10" s="34">
        <v>1</v>
      </c>
      <c r="D10" s="34">
        <v>1</v>
      </c>
      <c r="E10" s="14">
        <f>IF(C10=1,1,0)+IF(D10=1,2,0)</f>
        <v>3</v>
      </c>
      <c r="F10" s="28">
        <v>50.3</v>
      </c>
      <c r="G10" s="57"/>
      <c r="H10" s="14">
        <f>IF(F10=36,8,0)</f>
        <v>0</v>
      </c>
      <c r="I10" s="14">
        <f>IF(F10&lt;=33,1,0)</f>
        <v>0</v>
      </c>
      <c r="J10" s="14">
        <f>IF(F10&gt;=39,1,0)</f>
        <v>1</v>
      </c>
      <c r="K10" s="29">
        <f>IF(BP10=1,(BN10*0.1+BO10*0.1)*(-1),0)</f>
        <v>0</v>
      </c>
      <c r="L10" s="14">
        <f aca="true" t="shared" si="0" ref="L10:L45">IF(G10=1,(8+K10)*BP10*0,(8+K10)*BP10*1)</f>
        <v>0</v>
      </c>
      <c r="M10" s="34">
        <v>3</v>
      </c>
      <c r="N10" s="57"/>
      <c r="O10" s="14">
        <f>IF(N10=1,(M10*2)*0,M10*2)</f>
        <v>6</v>
      </c>
      <c r="P10" s="28">
        <v>8.3</v>
      </c>
      <c r="Q10" s="57"/>
      <c r="R10" s="14">
        <f>IF(P10=9,8,0)</f>
        <v>0</v>
      </c>
      <c r="S10" s="14">
        <f>IF(P10&lt;=6,1,0)</f>
        <v>0</v>
      </c>
      <c r="T10" s="14">
        <f>IF(P10&gt;=12,1,0)</f>
        <v>0</v>
      </c>
      <c r="U10" s="29">
        <f>IF(BU10=1,(BS10*0.1+BT10*0.1)*(-1),0)</f>
        <v>-0.06999999999999994</v>
      </c>
      <c r="V10" s="14">
        <f aca="true" t="shared" si="1" ref="V10:V45">IF(Q10=1,(8+U10)*BU10*0,(8+U10)*BU10*1)</f>
        <v>7.93</v>
      </c>
      <c r="W10" s="28">
        <v>4.9</v>
      </c>
      <c r="X10" s="57"/>
      <c r="Y10" s="14">
        <f>IF(W10=4.8,8,0)</f>
        <v>0</v>
      </c>
      <c r="Z10" s="14">
        <f>IF(W10&lt;=1.8,1,0)</f>
        <v>0</v>
      </c>
      <c r="AA10" s="14">
        <f>IF(W10&gt;=7.8,1,0)</f>
        <v>0</v>
      </c>
      <c r="AB10" s="29">
        <f>IF(BZ10=1,(BX10*0.1+BY10*0.1)*(-1),0)</f>
        <v>-0.010000000000000054</v>
      </c>
      <c r="AC10" s="14">
        <f aca="true" t="shared" si="2" ref="AC10:AC45">IF(X10=1,(8+AB10)*BZ10*0,(8+AB10)*BZ10*1)</f>
        <v>7.99</v>
      </c>
      <c r="AD10" s="28">
        <v>13.1</v>
      </c>
      <c r="AE10" s="57"/>
      <c r="AF10" s="14">
        <f>IF(AD10=10.8,8,0)</f>
        <v>0</v>
      </c>
      <c r="AG10" s="14">
        <f>IF(AD10&lt;=7.8,1,0)</f>
        <v>0</v>
      </c>
      <c r="AH10" s="14">
        <f>IF(AD10&gt;=13.8,1,0)</f>
        <v>0</v>
      </c>
      <c r="AI10" s="29">
        <f>IF(CE10=1,(CC10*0.1+CD10*0.1)*(-1),0)</f>
        <v>-0.2299999999999999</v>
      </c>
      <c r="AJ10" s="14">
        <f aca="true" t="shared" si="3" ref="AJ10:AJ45">IF(AE10=1,(8+AI10)*CE10*0,(8+AI10)*CE10*1)</f>
        <v>7.7700000000000005</v>
      </c>
      <c r="AK10" s="34">
        <v>2</v>
      </c>
      <c r="AL10" s="34">
        <v>2</v>
      </c>
      <c r="AM10" s="34">
        <v>0</v>
      </c>
      <c r="AN10" s="34">
        <v>2</v>
      </c>
      <c r="AO10" s="57"/>
      <c r="AP10" s="14">
        <f>IF(AO10=1,(AK10+AL10+AM10+AN10)*0,AK10+AL10+AM10+AN10)</f>
        <v>6</v>
      </c>
      <c r="AQ10" s="34">
        <v>40</v>
      </c>
      <c r="AR10" s="50"/>
      <c r="AS10" s="49">
        <f>IF(AR10=1,IF(AQ10&gt;=40,15,IF(AQ10&lt;37,0,12))*0,IF(AQ10&gt;=40,15,IF(AQ10&lt;37,0,12)))</f>
        <v>15</v>
      </c>
      <c r="AT10" s="34">
        <v>2</v>
      </c>
      <c r="AU10" s="34">
        <v>2</v>
      </c>
      <c r="AV10" s="34">
        <v>0</v>
      </c>
      <c r="AW10" s="57"/>
      <c r="AX10" s="14">
        <f>IF(AW10=1,(IF(AT10=3,6,IF(AT10=2,4,2))+AU10+AV10)*0,(IF(AT10=3,6,IF(AT10=2,4,2))+AU10+AV10))</f>
        <v>6</v>
      </c>
      <c r="AY10" s="57"/>
      <c r="AZ10" s="57"/>
      <c r="BA10" s="57"/>
      <c r="BB10" s="57"/>
      <c r="BC10" s="29">
        <f>SUM(AY10:BB10)*3</f>
        <v>0</v>
      </c>
      <c r="BD10" s="57"/>
      <c r="BE10" s="15">
        <v>0.22569444444444445</v>
      </c>
      <c r="BF10" s="49">
        <f>IF(BD10=1,(E10+L10+O10+V10+AC10+AJ10+AP10+AS10+AX10-BC10)*0,E10+L10+O10+V10+AC10+AJ10+AP10+AS10+AX10-BC10)</f>
        <v>59.690000000000005</v>
      </c>
      <c r="BG10" s="34">
        <v>0</v>
      </c>
      <c r="BH10" s="39">
        <f>BG10+BF10</f>
        <v>59.690000000000005</v>
      </c>
      <c r="BI10" s="64"/>
      <c r="BJ10" s="14">
        <v>1</v>
      </c>
      <c r="BK10" s="14">
        <v>2</v>
      </c>
      <c r="BM10" s="14">
        <f aca="true" t="shared" si="4" ref="BM10:BM45">ABS(36-F10)</f>
        <v>14.299999999999997</v>
      </c>
      <c r="BN10" s="14">
        <f>INT(BM10)</f>
        <v>14</v>
      </c>
      <c r="BO10" s="14">
        <f>ABS(BM10-BN10)</f>
        <v>0.29999999999999716</v>
      </c>
      <c r="BP10" s="14">
        <f aca="true" t="shared" si="5" ref="BP10:BP45">IF((I10+J10)=0,1,0)</f>
        <v>0</v>
      </c>
      <c r="BR10" s="14">
        <f aca="true" t="shared" si="6" ref="BR10:BR45">ABS(9-P10)</f>
        <v>0.6999999999999993</v>
      </c>
      <c r="BS10" s="14">
        <f>INT(BR10)</f>
        <v>0</v>
      </c>
      <c r="BT10" s="14">
        <f>ABS(BR10-BS10)</f>
        <v>0.6999999999999993</v>
      </c>
      <c r="BU10" s="14">
        <f aca="true" t="shared" si="7" ref="BU10:BU45">IF((S10+T10)=0,1,0)</f>
        <v>1</v>
      </c>
      <c r="BW10" s="14">
        <f aca="true" t="shared" si="8" ref="BW10:BW45">ABS(4.8-W10)</f>
        <v>0.10000000000000053</v>
      </c>
      <c r="BX10" s="14">
        <f>INT(BW10)</f>
        <v>0</v>
      </c>
      <c r="BY10" s="14">
        <f>ABS(BW10-BX10)</f>
        <v>0.10000000000000053</v>
      </c>
      <c r="BZ10" s="14">
        <f aca="true" t="shared" si="9" ref="BZ10:BZ45">IF((Z10+AA10)=0,1,0)</f>
        <v>1</v>
      </c>
      <c r="CB10" s="14">
        <f aca="true" t="shared" si="10" ref="CB10:CB45">ABS(10.8-AD10)</f>
        <v>2.299999999999999</v>
      </c>
      <c r="CC10" s="14">
        <f>INT(CB10)</f>
        <v>2</v>
      </c>
      <c r="CD10" s="14">
        <f>ABS(CB10-CC10)</f>
        <v>0.29999999999999893</v>
      </c>
      <c r="CE10" s="14">
        <f aca="true" t="shared" si="11" ref="CE10:CE45">IF((AG10+AH10)=0,1,0)</f>
        <v>1</v>
      </c>
    </row>
    <row r="11" spans="1:83" ht="12.75" customHeight="1">
      <c r="A11" s="34">
        <v>2</v>
      </c>
      <c r="B11" s="54" t="str">
        <f>IF(A11="","",VLOOKUP(A11,Жеребьевка!$A$6:$C$45,2,0))</f>
        <v>Мельницын Сергей Владимирович</v>
      </c>
      <c r="C11" s="34">
        <v>1</v>
      </c>
      <c r="D11" s="34">
        <v>0</v>
      </c>
      <c r="E11" s="14">
        <f aca="true" t="shared" si="12" ref="E11:E45">IF(C11=1,1,0)+IF(D11=1,2,0)</f>
        <v>1</v>
      </c>
      <c r="F11" s="28">
        <v>33.8</v>
      </c>
      <c r="G11" s="57"/>
      <c r="H11" s="14">
        <f aca="true" t="shared" si="13" ref="H11:H45">IF(F11=36,8,0)</f>
        <v>0</v>
      </c>
      <c r="I11" s="14">
        <f aca="true" t="shared" si="14" ref="I11:I45">IF(F11&lt;=33,1,0)</f>
        <v>0</v>
      </c>
      <c r="J11" s="14">
        <f aca="true" t="shared" si="15" ref="J11:J45">IF(F11&gt;=39,1,0)</f>
        <v>0</v>
      </c>
      <c r="K11" s="29">
        <f aca="true" t="shared" si="16" ref="K11:K45">IF(BP11=1,(BN11*0.1+BO11*0.1)*(-1),0)</f>
        <v>-0.2200000000000003</v>
      </c>
      <c r="L11" s="14">
        <f t="shared" si="0"/>
        <v>7.779999999999999</v>
      </c>
      <c r="M11" s="34">
        <v>3</v>
      </c>
      <c r="N11" s="57">
        <v>1</v>
      </c>
      <c r="O11" s="14">
        <f aca="true" t="shared" si="17" ref="O11:O45">IF(N11=1,(M11*2)*0,M11*2)</f>
        <v>0</v>
      </c>
      <c r="P11" s="28">
        <v>8.7</v>
      </c>
      <c r="Q11" s="57"/>
      <c r="R11" s="14">
        <f aca="true" t="shared" si="18" ref="R11:R45">IF(P11=9,8,0)</f>
        <v>0</v>
      </c>
      <c r="S11" s="14">
        <f aca="true" t="shared" si="19" ref="S11:S45">IF(P11&lt;=6,1,0)</f>
        <v>0</v>
      </c>
      <c r="T11" s="14">
        <f aca="true" t="shared" si="20" ref="T11:T45">IF(P11&gt;=12,1,0)</f>
        <v>0</v>
      </c>
      <c r="U11" s="29">
        <f aca="true" t="shared" si="21" ref="U11:U45">IF(BU11=1,(BS11*0.1+BT11*0.1)*(-1),0)</f>
        <v>-0.030000000000000072</v>
      </c>
      <c r="V11" s="14">
        <f t="shared" si="1"/>
        <v>7.97</v>
      </c>
      <c r="W11" s="28">
        <v>4.5</v>
      </c>
      <c r="X11" s="57"/>
      <c r="Y11" s="14">
        <f aca="true" t="shared" si="22" ref="Y11:Y45">IF(W11=4.8,8,0)</f>
        <v>0</v>
      </c>
      <c r="Z11" s="14">
        <f aca="true" t="shared" si="23" ref="Z11:Z45">IF(W11&lt;=1.8,1,0)</f>
        <v>0</v>
      </c>
      <c r="AA11" s="14">
        <f aca="true" t="shared" si="24" ref="AA11:AA45">IF(W11&gt;=7.8,1,0)</f>
        <v>0</v>
      </c>
      <c r="AB11" s="29">
        <f aca="true" t="shared" si="25" ref="AB11:AB45">IF(BZ11=1,(BX11*0.1+BY11*0.1)*(-1),0)</f>
        <v>-0.029999999999999985</v>
      </c>
      <c r="AC11" s="14">
        <f t="shared" si="2"/>
        <v>7.97</v>
      </c>
      <c r="AD11" s="28">
        <v>10.5</v>
      </c>
      <c r="AE11" s="57"/>
      <c r="AF11" s="14">
        <f aca="true" t="shared" si="26" ref="AF11:AF45">IF(AD11=10.8,8,0)</f>
        <v>0</v>
      </c>
      <c r="AG11" s="14">
        <f aca="true" t="shared" si="27" ref="AG11:AG45">IF(AD11&lt;=7.8,1,0)</f>
        <v>0</v>
      </c>
      <c r="AH11" s="14">
        <f aca="true" t="shared" si="28" ref="AH11:AH45">IF(AD11&gt;=13.8,1,0)</f>
        <v>0</v>
      </c>
      <c r="AI11" s="29">
        <f aca="true" t="shared" si="29" ref="AI11:AI45">IF(CE11=1,(CC11*0.1+CD11*0.1)*(-1),0)</f>
        <v>-0.030000000000000072</v>
      </c>
      <c r="AJ11" s="14">
        <f t="shared" si="3"/>
        <v>7.97</v>
      </c>
      <c r="AK11" s="34">
        <v>2</v>
      </c>
      <c r="AL11" s="34">
        <v>2</v>
      </c>
      <c r="AM11" s="34">
        <v>2</v>
      </c>
      <c r="AN11" s="34">
        <v>2</v>
      </c>
      <c r="AO11" s="57"/>
      <c r="AP11" s="14">
        <f aca="true" t="shared" si="30" ref="AP11:AP45">IF(AO11=1,(AK11+AL11+AM11+AN11)*0,AK11+AL11+AM11+AN11)</f>
        <v>8</v>
      </c>
      <c r="AQ11" s="34">
        <v>36</v>
      </c>
      <c r="AR11" s="50"/>
      <c r="AS11" s="49">
        <f aca="true" t="shared" si="31" ref="AS11:AS45">IF(AR11=1,IF(AQ11&gt;=40,15,IF(AQ11&lt;37,0,12))*0,IF(AQ11&gt;=40,15,IF(AQ11&lt;37,0,12)))</f>
        <v>0</v>
      </c>
      <c r="AT11" s="34">
        <v>1</v>
      </c>
      <c r="AU11" s="34">
        <v>2</v>
      </c>
      <c r="AV11" s="34">
        <v>2</v>
      </c>
      <c r="AW11" s="50">
        <v>1</v>
      </c>
      <c r="AX11" s="14">
        <f aca="true" t="shared" si="32" ref="AX11:AX45">IF(AW11=1,(IF(AT11=3,6,IF(AT11=2,4,2))+AU11+AV11)*0,(IF(AT11=3,6,IF(AT11=2,4,2))+AU11+AV11))</f>
        <v>0</v>
      </c>
      <c r="AY11" s="57"/>
      <c r="AZ11" s="57"/>
      <c r="BA11" s="57"/>
      <c r="BB11" s="57"/>
      <c r="BC11" s="29">
        <f aca="true" t="shared" si="33" ref="BC11:BC45">SUM(AY11:BB11)*3</f>
        <v>0</v>
      </c>
      <c r="BD11" s="57"/>
      <c r="BE11" s="15">
        <v>0.16041666666666668</v>
      </c>
      <c r="BF11" s="49">
        <f aca="true" t="shared" si="34" ref="BF11:BF45">IF(BD11=1,(E11+L11+O11+V11+AC11+AJ11+AP11+AS11+AX11-BC11)*0,E11+L11+O11+V11+AC11+AJ11+AP11+AS11+AX11-BC11)</f>
        <v>40.69</v>
      </c>
      <c r="BG11" s="34">
        <v>0</v>
      </c>
      <c r="BH11" s="39">
        <f aca="true" t="shared" si="35" ref="BH11:BH45">BG11+BF11</f>
        <v>40.69</v>
      </c>
      <c r="BI11" s="64"/>
      <c r="BJ11" s="14">
        <v>2</v>
      </c>
      <c r="BK11" s="14">
        <v>1.5</v>
      </c>
      <c r="BM11" s="14">
        <f t="shared" si="4"/>
        <v>2.200000000000003</v>
      </c>
      <c r="BN11" s="14">
        <f aca="true" t="shared" si="36" ref="BN11:BN45">INT(BM11)</f>
        <v>2</v>
      </c>
      <c r="BO11" s="14">
        <f aca="true" t="shared" si="37" ref="BO11:BO45">ABS(BM11-BN11)</f>
        <v>0.20000000000000284</v>
      </c>
      <c r="BP11" s="14">
        <f t="shared" si="5"/>
        <v>1</v>
      </c>
      <c r="BR11" s="14">
        <f t="shared" si="6"/>
        <v>0.3000000000000007</v>
      </c>
      <c r="BS11" s="14">
        <f aca="true" t="shared" si="38" ref="BS11:BS45">INT(BR11)</f>
        <v>0</v>
      </c>
      <c r="BT11" s="14">
        <f aca="true" t="shared" si="39" ref="BT11:BT45">ABS(BR11-BS11)</f>
        <v>0.3000000000000007</v>
      </c>
      <c r="BU11" s="14">
        <f t="shared" si="7"/>
        <v>1</v>
      </c>
      <c r="BW11" s="14">
        <f t="shared" si="8"/>
        <v>0.2999999999999998</v>
      </c>
      <c r="BX11" s="14">
        <f aca="true" t="shared" si="40" ref="BX11:BX45">INT(BW11)</f>
        <v>0</v>
      </c>
      <c r="BY11" s="14">
        <f aca="true" t="shared" si="41" ref="BY11:BY45">ABS(BW11-BX11)</f>
        <v>0.2999999999999998</v>
      </c>
      <c r="BZ11" s="14">
        <f t="shared" si="9"/>
        <v>1</v>
      </c>
      <c r="CB11" s="14">
        <f t="shared" si="10"/>
        <v>0.3000000000000007</v>
      </c>
      <c r="CC11" s="14">
        <f aca="true" t="shared" si="42" ref="CC11:CC45">INT(CB11)</f>
        <v>0</v>
      </c>
      <c r="CD11" s="14">
        <f aca="true" t="shared" si="43" ref="CD11:CD45">ABS(CB11-CC11)</f>
        <v>0.3000000000000007</v>
      </c>
      <c r="CE11" s="14">
        <f t="shared" si="11"/>
        <v>1</v>
      </c>
    </row>
    <row r="12" spans="1:83" ht="12.75">
      <c r="A12" s="34">
        <v>3</v>
      </c>
      <c r="B12" s="54" t="str">
        <f>IF(A12="","",VLOOKUP(A12,Жеребьевка!$A$6:$C$45,2,0))</f>
        <v>Гайнуллин Рустам Фаритович</v>
      </c>
      <c r="C12" s="34">
        <v>1</v>
      </c>
      <c r="D12" s="34">
        <v>0</v>
      </c>
      <c r="E12" s="14">
        <f t="shared" si="12"/>
        <v>1</v>
      </c>
      <c r="F12" s="28">
        <v>31.8</v>
      </c>
      <c r="G12" s="57"/>
      <c r="H12" s="14">
        <f t="shared" si="13"/>
        <v>0</v>
      </c>
      <c r="I12" s="14">
        <f t="shared" si="14"/>
        <v>1</v>
      </c>
      <c r="J12" s="14">
        <f t="shared" si="15"/>
        <v>0</v>
      </c>
      <c r="K12" s="29">
        <f t="shared" si="16"/>
        <v>0</v>
      </c>
      <c r="L12" s="14">
        <f t="shared" si="0"/>
        <v>0</v>
      </c>
      <c r="M12" s="34">
        <v>4</v>
      </c>
      <c r="N12" s="57"/>
      <c r="O12" s="14">
        <f t="shared" si="17"/>
        <v>8</v>
      </c>
      <c r="P12" s="28">
        <v>6.4</v>
      </c>
      <c r="Q12" s="57"/>
      <c r="R12" s="14">
        <f t="shared" si="18"/>
        <v>0</v>
      </c>
      <c r="S12" s="14">
        <f t="shared" si="19"/>
        <v>0</v>
      </c>
      <c r="T12" s="14">
        <f t="shared" si="20"/>
        <v>0</v>
      </c>
      <c r="U12" s="29">
        <f t="shared" si="21"/>
        <v>-0.26</v>
      </c>
      <c r="V12" s="14">
        <f t="shared" si="1"/>
        <v>7.74</v>
      </c>
      <c r="W12" s="28">
        <v>4.1</v>
      </c>
      <c r="X12" s="57"/>
      <c r="Y12" s="14">
        <f t="shared" si="22"/>
        <v>0</v>
      </c>
      <c r="Z12" s="14">
        <f t="shared" si="23"/>
        <v>0</v>
      </c>
      <c r="AA12" s="14">
        <f t="shared" si="24"/>
        <v>0</v>
      </c>
      <c r="AB12" s="29">
        <f t="shared" si="25"/>
        <v>-0.07000000000000002</v>
      </c>
      <c r="AC12" s="14">
        <f t="shared" si="2"/>
        <v>7.93</v>
      </c>
      <c r="AD12" s="28">
        <v>9.8</v>
      </c>
      <c r="AE12" s="57"/>
      <c r="AF12" s="14">
        <f t="shared" si="26"/>
        <v>0</v>
      </c>
      <c r="AG12" s="14">
        <f t="shared" si="27"/>
        <v>0</v>
      </c>
      <c r="AH12" s="14">
        <f t="shared" si="28"/>
        <v>0</v>
      </c>
      <c r="AI12" s="29">
        <f t="shared" si="29"/>
        <v>-0.1</v>
      </c>
      <c r="AJ12" s="14">
        <f t="shared" si="3"/>
        <v>7.9</v>
      </c>
      <c r="AK12" s="34">
        <v>2</v>
      </c>
      <c r="AL12" s="34">
        <v>2</v>
      </c>
      <c r="AM12" s="34">
        <v>2</v>
      </c>
      <c r="AN12" s="34">
        <v>2</v>
      </c>
      <c r="AO12" s="57"/>
      <c r="AP12" s="14">
        <f t="shared" si="30"/>
        <v>8</v>
      </c>
      <c r="AQ12" s="34">
        <v>43</v>
      </c>
      <c r="AR12" s="50"/>
      <c r="AS12" s="49">
        <f t="shared" si="31"/>
        <v>15</v>
      </c>
      <c r="AT12" s="34">
        <v>2</v>
      </c>
      <c r="AU12" s="34">
        <v>2</v>
      </c>
      <c r="AV12" s="34">
        <v>2</v>
      </c>
      <c r="AW12" s="57"/>
      <c r="AX12" s="14">
        <f t="shared" si="32"/>
        <v>8</v>
      </c>
      <c r="AY12" s="57"/>
      <c r="AZ12" s="57"/>
      <c r="BA12" s="57"/>
      <c r="BB12" s="57"/>
      <c r="BC12" s="29">
        <f t="shared" si="33"/>
        <v>0</v>
      </c>
      <c r="BD12" s="57"/>
      <c r="BE12" s="15">
        <v>0.18680555555555556</v>
      </c>
      <c r="BF12" s="49">
        <f t="shared" si="34"/>
        <v>63.57</v>
      </c>
      <c r="BG12" s="34">
        <v>0</v>
      </c>
      <c r="BH12" s="39">
        <f t="shared" si="35"/>
        <v>63.57</v>
      </c>
      <c r="BI12" s="64"/>
      <c r="BJ12" s="14">
        <v>3</v>
      </c>
      <c r="BK12" s="14">
        <v>1</v>
      </c>
      <c r="BM12" s="14">
        <f t="shared" si="4"/>
        <v>4.199999999999999</v>
      </c>
      <c r="BN12" s="14">
        <f t="shared" si="36"/>
        <v>4</v>
      </c>
      <c r="BO12" s="14">
        <f t="shared" si="37"/>
        <v>0.1999999999999993</v>
      </c>
      <c r="BP12" s="14">
        <f t="shared" si="5"/>
        <v>0</v>
      </c>
      <c r="BR12" s="14">
        <f t="shared" si="6"/>
        <v>2.5999999999999996</v>
      </c>
      <c r="BS12" s="14">
        <f t="shared" si="38"/>
        <v>2</v>
      </c>
      <c r="BT12" s="14">
        <f t="shared" si="39"/>
        <v>0.5999999999999996</v>
      </c>
      <c r="BU12" s="14">
        <f t="shared" si="7"/>
        <v>1</v>
      </c>
      <c r="BW12" s="14">
        <f t="shared" si="8"/>
        <v>0.7000000000000002</v>
      </c>
      <c r="BX12" s="14">
        <f t="shared" si="40"/>
        <v>0</v>
      </c>
      <c r="BY12" s="14">
        <f t="shared" si="41"/>
        <v>0.7000000000000002</v>
      </c>
      <c r="BZ12" s="14">
        <f t="shared" si="9"/>
        <v>1</v>
      </c>
      <c r="CB12" s="14">
        <f t="shared" si="10"/>
        <v>1</v>
      </c>
      <c r="CC12" s="14">
        <f t="shared" si="42"/>
        <v>1</v>
      </c>
      <c r="CD12" s="14">
        <f t="shared" si="43"/>
        <v>0</v>
      </c>
      <c r="CE12" s="14">
        <f t="shared" si="11"/>
        <v>1</v>
      </c>
    </row>
    <row r="13" spans="1:83" ht="12.75">
      <c r="A13" s="34">
        <v>4</v>
      </c>
      <c r="B13" s="54" t="str">
        <f>IF(A13="","",VLOOKUP(A13,Жеребьевка!$A$6:$C$45,2,0))</f>
        <v>Мартынов Владимир Михайлович</v>
      </c>
      <c r="C13" s="34">
        <v>1</v>
      </c>
      <c r="D13" s="34">
        <v>1</v>
      </c>
      <c r="E13" s="14">
        <f t="shared" si="12"/>
        <v>3</v>
      </c>
      <c r="F13" s="28">
        <v>33.5</v>
      </c>
      <c r="G13" s="57"/>
      <c r="H13" s="14">
        <f t="shared" si="13"/>
        <v>0</v>
      </c>
      <c r="I13" s="14">
        <f t="shared" si="14"/>
        <v>0</v>
      </c>
      <c r="J13" s="14">
        <f t="shared" si="15"/>
        <v>0</v>
      </c>
      <c r="K13" s="29">
        <f t="shared" si="16"/>
        <v>-0.25</v>
      </c>
      <c r="L13" s="14">
        <f t="shared" si="0"/>
        <v>7.75</v>
      </c>
      <c r="M13" s="34">
        <v>3</v>
      </c>
      <c r="N13" s="51"/>
      <c r="O13" s="14">
        <f t="shared" si="17"/>
        <v>6</v>
      </c>
      <c r="P13" s="28">
        <v>10</v>
      </c>
      <c r="Q13" s="57"/>
      <c r="R13" s="14">
        <f t="shared" si="18"/>
        <v>0</v>
      </c>
      <c r="S13" s="14">
        <f t="shared" si="19"/>
        <v>0</v>
      </c>
      <c r="T13" s="14">
        <f t="shared" si="20"/>
        <v>0</v>
      </c>
      <c r="U13" s="29">
        <f t="shared" si="21"/>
        <v>-0.1</v>
      </c>
      <c r="V13" s="14">
        <f t="shared" si="1"/>
        <v>7.9</v>
      </c>
      <c r="W13" s="28">
        <v>5.3</v>
      </c>
      <c r="X13" s="57"/>
      <c r="Y13" s="14">
        <f t="shared" si="22"/>
        <v>0</v>
      </c>
      <c r="Z13" s="14">
        <f t="shared" si="23"/>
        <v>0</v>
      </c>
      <c r="AA13" s="14">
        <f t="shared" si="24"/>
        <v>0</v>
      </c>
      <c r="AB13" s="29">
        <f t="shared" si="25"/>
        <v>-0.05</v>
      </c>
      <c r="AC13" s="14">
        <f t="shared" si="2"/>
        <v>7.95</v>
      </c>
      <c r="AD13" s="28">
        <v>13</v>
      </c>
      <c r="AE13" s="57"/>
      <c r="AF13" s="14">
        <f t="shared" si="26"/>
        <v>0</v>
      </c>
      <c r="AG13" s="14">
        <f t="shared" si="27"/>
        <v>0</v>
      </c>
      <c r="AH13" s="14">
        <f t="shared" si="28"/>
        <v>0</v>
      </c>
      <c r="AI13" s="29">
        <f t="shared" si="29"/>
        <v>-0.21999999999999995</v>
      </c>
      <c r="AJ13" s="14">
        <f t="shared" si="3"/>
        <v>7.78</v>
      </c>
      <c r="AK13" s="34">
        <v>0</v>
      </c>
      <c r="AL13" s="34">
        <v>2</v>
      </c>
      <c r="AM13" s="34">
        <v>2</v>
      </c>
      <c r="AN13" s="34">
        <v>2</v>
      </c>
      <c r="AO13" s="57">
        <v>1</v>
      </c>
      <c r="AP13" s="14">
        <f t="shared" si="30"/>
        <v>0</v>
      </c>
      <c r="AQ13" s="34">
        <v>37</v>
      </c>
      <c r="AR13" s="50"/>
      <c r="AS13" s="49">
        <f t="shared" si="31"/>
        <v>12</v>
      </c>
      <c r="AT13" s="34">
        <v>2</v>
      </c>
      <c r="AU13" s="34">
        <v>2</v>
      </c>
      <c r="AV13" s="34">
        <v>0</v>
      </c>
      <c r="AW13" s="57">
        <v>1</v>
      </c>
      <c r="AX13" s="14">
        <f t="shared" si="32"/>
        <v>0</v>
      </c>
      <c r="AY13" s="57"/>
      <c r="AZ13" s="57"/>
      <c r="BA13" s="57"/>
      <c r="BB13" s="57"/>
      <c r="BC13" s="29">
        <f t="shared" si="33"/>
        <v>0</v>
      </c>
      <c r="BD13" s="57"/>
      <c r="BE13" s="15">
        <v>0.17847222222222223</v>
      </c>
      <c r="BF13" s="49">
        <f t="shared" si="34"/>
        <v>52.38</v>
      </c>
      <c r="BG13" s="34">
        <v>0</v>
      </c>
      <c r="BH13" s="39">
        <f t="shared" si="35"/>
        <v>52.38</v>
      </c>
      <c r="BI13" s="64"/>
      <c r="BJ13" s="14">
        <v>4</v>
      </c>
      <c r="BK13" s="14">
        <v>0.8</v>
      </c>
      <c r="BM13" s="14">
        <f t="shared" si="4"/>
        <v>2.5</v>
      </c>
      <c r="BN13" s="14">
        <f t="shared" si="36"/>
        <v>2</v>
      </c>
      <c r="BO13" s="14">
        <f t="shared" si="37"/>
        <v>0.5</v>
      </c>
      <c r="BP13" s="14">
        <f t="shared" si="5"/>
        <v>1</v>
      </c>
      <c r="BR13" s="14">
        <f t="shared" si="6"/>
        <v>1</v>
      </c>
      <c r="BS13" s="14">
        <f t="shared" si="38"/>
        <v>1</v>
      </c>
      <c r="BT13" s="14">
        <f t="shared" si="39"/>
        <v>0</v>
      </c>
      <c r="BU13" s="14">
        <f t="shared" si="7"/>
        <v>1</v>
      </c>
      <c r="BW13" s="14">
        <f t="shared" si="8"/>
        <v>0.5</v>
      </c>
      <c r="BX13" s="14">
        <f t="shared" si="40"/>
        <v>0</v>
      </c>
      <c r="BY13" s="14">
        <f t="shared" si="41"/>
        <v>0.5</v>
      </c>
      <c r="BZ13" s="14">
        <f t="shared" si="9"/>
        <v>1</v>
      </c>
      <c r="CB13" s="14">
        <f t="shared" si="10"/>
        <v>2.1999999999999993</v>
      </c>
      <c r="CC13" s="14">
        <f t="shared" si="42"/>
        <v>2</v>
      </c>
      <c r="CD13" s="14">
        <f t="shared" si="43"/>
        <v>0.1999999999999993</v>
      </c>
      <c r="CE13" s="14">
        <f t="shared" si="11"/>
        <v>1</v>
      </c>
    </row>
    <row r="14" spans="1:83" ht="12.75">
      <c r="A14" s="34">
        <v>5</v>
      </c>
      <c r="B14" s="54" t="str">
        <f>IF(A14="","",VLOOKUP(A14,Жеребьевка!$A$6:$C$45,2,0))</f>
        <v>Богатырева Оксана Юрьевна</v>
      </c>
      <c r="C14" s="34">
        <v>1</v>
      </c>
      <c r="D14" s="34">
        <v>1</v>
      </c>
      <c r="E14" s="14">
        <f t="shared" si="12"/>
        <v>3</v>
      </c>
      <c r="F14" s="28">
        <v>44.5</v>
      </c>
      <c r="G14" s="57"/>
      <c r="H14" s="14">
        <f t="shared" si="13"/>
        <v>0</v>
      </c>
      <c r="I14" s="14">
        <f t="shared" si="14"/>
        <v>0</v>
      </c>
      <c r="J14" s="14">
        <f t="shared" si="15"/>
        <v>1</v>
      </c>
      <c r="K14" s="29">
        <f t="shared" si="16"/>
        <v>0</v>
      </c>
      <c r="L14" s="14">
        <f t="shared" si="0"/>
        <v>0</v>
      </c>
      <c r="M14" s="34">
        <v>4</v>
      </c>
      <c r="N14" s="57"/>
      <c r="O14" s="14">
        <f t="shared" si="17"/>
        <v>8</v>
      </c>
      <c r="P14" s="28">
        <v>7.7</v>
      </c>
      <c r="Q14" s="57"/>
      <c r="R14" s="14">
        <f t="shared" si="18"/>
        <v>0</v>
      </c>
      <c r="S14" s="14">
        <f t="shared" si="19"/>
        <v>0</v>
      </c>
      <c r="T14" s="14">
        <f t="shared" si="20"/>
        <v>0</v>
      </c>
      <c r="U14" s="29">
        <f t="shared" si="21"/>
        <v>-0.13</v>
      </c>
      <c r="V14" s="14">
        <f t="shared" si="1"/>
        <v>7.87</v>
      </c>
      <c r="W14" s="28">
        <v>3.7</v>
      </c>
      <c r="X14" s="57"/>
      <c r="Y14" s="14">
        <f t="shared" si="22"/>
        <v>0</v>
      </c>
      <c r="Z14" s="14">
        <f t="shared" si="23"/>
        <v>0</v>
      </c>
      <c r="AA14" s="14">
        <f t="shared" si="24"/>
        <v>0</v>
      </c>
      <c r="AB14" s="29">
        <f t="shared" si="25"/>
        <v>-0.10999999999999997</v>
      </c>
      <c r="AC14" s="14">
        <f t="shared" si="2"/>
        <v>7.89</v>
      </c>
      <c r="AD14" s="28">
        <v>11.4</v>
      </c>
      <c r="AE14" s="57"/>
      <c r="AF14" s="14">
        <f t="shared" si="26"/>
        <v>0</v>
      </c>
      <c r="AG14" s="14">
        <f t="shared" si="27"/>
        <v>0</v>
      </c>
      <c r="AH14" s="14">
        <f t="shared" si="28"/>
        <v>0</v>
      </c>
      <c r="AI14" s="29">
        <f t="shared" si="29"/>
        <v>-0.05999999999999997</v>
      </c>
      <c r="AJ14" s="14">
        <f t="shared" si="3"/>
        <v>7.94</v>
      </c>
      <c r="AK14" s="34">
        <v>2</v>
      </c>
      <c r="AL14" s="34">
        <v>2</v>
      </c>
      <c r="AM14" s="34">
        <v>2</v>
      </c>
      <c r="AN14" s="34">
        <v>2</v>
      </c>
      <c r="AO14" s="57"/>
      <c r="AP14" s="14">
        <f t="shared" si="30"/>
        <v>8</v>
      </c>
      <c r="AQ14" s="34">
        <v>44</v>
      </c>
      <c r="AR14" s="50"/>
      <c r="AS14" s="49">
        <f t="shared" si="31"/>
        <v>15</v>
      </c>
      <c r="AT14" s="34">
        <v>2</v>
      </c>
      <c r="AU14" s="34">
        <v>2</v>
      </c>
      <c r="AV14" s="34">
        <v>2</v>
      </c>
      <c r="AW14" s="57"/>
      <c r="AX14" s="14">
        <f t="shared" si="32"/>
        <v>8</v>
      </c>
      <c r="AY14" s="57"/>
      <c r="AZ14" s="57"/>
      <c r="BA14" s="57"/>
      <c r="BB14" s="57"/>
      <c r="BC14" s="29">
        <f t="shared" si="33"/>
        <v>0</v>
      </c>
      <c r="BD14" s="57"/>
      <c r="BE14" s="15">
        <v>0.25833333333333336</v>
      </c>
      <c r="BF14" s="49">
        <f t="shared" si="34"/>
        <v>65.7</v>
      </c>
      <c r="BG14" s="34">
        <v>0</v>
      </c>
      <c r="BH14" s="39">
        <f t="shared" si="35"/>
        <v>65.7</v>
      </c>
      <c r="BI14" s="64"/>
      <c r="BJ14" s="14">
        <v>5</v>
      </c>
      <c r="BK14" s="14">
        <v>0.4</v>
      </c>
      <c r="BM14" s="14">
        <f t="shared" si="4"/>
        <v>8.5</v>
      </c>
      <c r="BN14" s="14">
        <f t="shared" si="36"/>
        <v>8</v>
      </c>
      <c r="BO14" s="14">
        <f t="shared" si="37"/>
        <v>0.5</v>
      </c>
      <c r="BP14" s="14">
        <f t="shared" si="5"/>
        <v>0</v>
      </c>
      <c r="BR14" s="14">
        <f t="shared" si="6"/>
        <v>1.2999999999999998</v>
      </c>
      <c r="BS14" s="14">
        <f t="shared" si="38"/>
        <v>1</v>
      </c>
      <c r="BT14" s="14">
        <f t="shared" si="39"/>
        <v>0.2999999999999998</v>
      </c>
      <c r="BU14" s="14">
        <f t="shared" si="7"/>
        <v>1</v>
      </c>
      <c r="BW14" s="14">
        <f t="shared" si="8"/>
        <v>1.0999999999999996</v>
      </c>
      <c r="BX14" s="14">
        <f t="shared" si="40"/>
        <v>1</v>
      </c>
      <c r="BY14" s="14">
        <f t="shared" si="41"/>
        <v>0.09999999999999964</v>
      </c>
      <c r="BZ14" s="14">
        <f t="shared" si="9"/>
        <v>1</v>
      </c>
      <c r="CB14" s="14">
        <f t="shared" si="10"/>
        <v>0.5999999999999996</v>
      </c>
      <c r="CC14" s="14">
        <f t="shared" si="42"/>
        <v>0</v>
      </c>
      <c r="CD14" s="14">
        <f t="shared" si="43"/>
        <v>0.5999999999999996</v>
      </c>
      <c r="CE14" s="14">
        <f t="shared" si="11"/>
        <v>1</v>
      </c>
    </row>
    <row r="15" spans="1:83" ht="12.75">
      <c r="A15" s="34">
        <v>6</v>
      </c>
      <c r="B15" s="54" t="str">
        <f>IF(A15="","",VLOOKUP(A15,Жеребьевка!$A$6:$C$45,2,0))</f>
        <v>Кирова Татьяна Михайловна</v>
      </c>
      <c r="C15" s="34">
        <v>1</v>
      </c>
      <c r="D15" s="34">
        <v>0</v>
      </c>
      <c r="E15" s="14">
        <f t="shared" si="12"/>
        <v>1</v>
      </c>
      <c r="F15" s="28">
        <v>37</v>
      </c>
      <c r="G15" s="57"/>
      <c r="H15" s="14">
        <f t="shared" si="13"/>
        <v>0</v>
      </c>
      <c r="I15" s="14">
        <f t="shared" si="14"/>
        <v>0</v>
      </c>
      <c r="J15" s="14">
        <f t="shared" si="15"/>
        <v>0</v>
      </c>
      <c r="K15" s="29">
        <f t="shared" si="16"/>
        <v>-0.1</v>
      </c>
      <c r="L15" s="14">
        <f t="shared" si="0"/>
        <v>7.9</v>
      </c>
      <c r="M15" s="34">
        <v>5</v>
      </c>
      <c r="N15" s="57"/>
      <c r="O15" s="14">
        <f t="shared" si="17"/>
        <v>10</v>
      </c>
      <c r="P15" s="28">
        <v>8.1</v>
      </c>
      <c r="Q15" s="57"/>
      <c r="R15" s="14">
        <f t="shared" si="18"/>
        <v>0</v>
      </c>
      <c r="S15" s="14">
        <f t="shared" si="19"/>
        <v>0</v>
      </c>
      <c r="T15" s="14">
        <f t="shared" si="20"/>
        <v>0</v>
      </c>
      <c r="U15" s="29">
        <f t="shared" si="21"/>
        <v>-0.09000000000000004</v>
      </c>
      <c r="V15" s="14">
        <f t="shared" si="1"/>
        <v>7.91</v>
      </c>
      <c r="W15" s="28">
        <v>4.5</v>
      </c>
      <c r="X15" s="57"/>
      <c r="Y15" s="14">
        <f t="shared" si="22"/>
        <v>0</v>
      </c>
      <c r="Z15" s="14">
        <f t="shared" si="23"/>
        <v>0</v>
      </c>
      <c r="AA15" s="14">
        <f t="shared" si="24"/>
        <v>0</v>
      </c>
      <c r="AB15" s="29">
        <f t="shared" si="25"/>
        <v>-0.029999999999999985</v>
      </c>
      <c r="AC15" s="14">
        <f t="shared" si="2"/>
        <v>7.97</v>
      </c>
      <c r="AD15" s="28">
        <v>12.8</v>
      </c>
      <c r="AE15" s="57"/>
      <c r="AF15" s="14">
        <f t="shared" si="26"/>
        <v>0</v>
      </c>
      <c r="AG15" s="14">
        <f t="shared" si="27"/>
        <v>0</v>
      </c>
      <c r="AH15" s="14">
        <f t="shared" si="28"/>
        <v>0</v>
      </c>
      <c r="AI15" s="29">
        <f t="shared" si="29"/>
        <v>-0.2</v>
      </c>
      <c r="AJ15" s="14">
        <f t="shared" si="3"/>
        <v>7.8</v>
      </c>
      <c r="AK15" s="34">
        <v>0</v>
      </c>
      <c r="AL15" s="34">
        <v>2</v>
      </c>
      <c r="AM15" s="34">
        <v>2</v>
      </c>
      <c r="AN15" s="34">
        <v>2</v>
      </c>
      <c r="AO15" s="57">
        <v>1</v>
      </c>
      <c r="AP15" s="14">
        <f t="shared" si="30"/>
        <v>0</v>
      </c>
      <c r="AQ15" s="34">
        <v>43</v>
      </c>
      <c r="AR15" s="50"/>
      <c r="AS15" s="49">
        <f t="shared" si="31"/>
        <v>15</v>
      </c>
      <c r="AT15" s="34">
        <v>3</v>
      </c>
      <c r="AU15" s="34">
        <v>0</v>
      </c>
      <c r="AV15" s="34">
        <v>0</v>
      </c>
      <c r="AW15" s="57"/>
      <c r="AX15" s="14">
        <f t="shared" si="32"/>
        <v>6</v>
      </c>
      <c r="AY15" s="57"/>
      <c r="AZ15" s="57"/>
      <c r="BA15" s="57"/>
      <c r="BB15" s="57"/>
      <c r="BC15" s="29">
        <f t="shared" si="33"/>
        <v>0</v>
      </c>
      <c r="BD15" s="57"/>
      <c r="BE15" s="15">
        <v>0.33958333333333335</v>
      </c>
      <c r="BF15" s="49">
        <f t="shared" si="34"/>
        <v>63.58</v>
      </c>
      <c r="BG15" s="34">
        <v>0</v>
      </c>
      <c r="BH15" s="39">
        <f t="shared" si="35"/>
        <v>63.58</v>
      </c>
      <c r="BI15" s="64"/>
      <c r="BM15" s="14">
        <f t="shared" si="4"/>
        <v>1</v>
      </c>
      <c r="BN15" s="14">
        <f t="shared" si="36"/>
        <v>1</v>
      </c>
      <c r="BO15" s="14">
        <f t="shared" si="37"/>
        <v>0</v>
      </c>
      <c r="BP15" s="14">
        <f t="shared" si="5"/>
        <v>1</v>
      </c>
      <c r="BR15" s="14">
        <f t="shared" si="6"/>
        <v>0.9000000000000004</v>
      </c>
      <c r="BS15" s="14">
        <f t="shared" si="38"/>
        <v>0</v>
      </c>
      <c r="BT15" s="14">
        <f t="shared" si="39"/>
        <v>0.9000000000000004</v>
      </c>
      <c r="BU15" s="14">
        <f t="shared" si="7"/>
        <v>1</v>
      </c>
      <c r="BW15" s="14">
        <f t="shared" si="8"/>
        <v>0.2999999999999998</v>
      </c>
      <c r="BX15" s="14">
        <f t="shared" si="40"/>
        <v>0</v>
      </c>
      <c r="BY15" s="14">
        <f t="shared" si="41"/>
        <v>0.2999999999999998</v>
      </c>
      <c r="BZ15" s="14">
        <f t="shared" si="9"/>
        <v>1</v>
      </c>
      <c r="CB15" s="14">
        <f t="shared" si="10"/>
        <v>2</v>
      </c>
      <c r="CC15" s="14">
        <f t="shared" si="42"/>
        <v>2</v>
      </c>
      <c r="CD15" s="14">
        <f t="shared" si="43"/>
        <v>0</v>
      </c>
      <c r="CE15" s="14">
        <f t="shared" si="11"/>
        <v>1</v>
      </c>
    </row>
    <row r="16" spans="1:83" ht="12.75">
      <c r="A16" s="34">
        <v>7</v>
      </c>
      <c r="B16" s="54" t="str">
        <f>IF(A16="","",VLOOKUP(A16,Жеребьевка!$A$6:$C$45,2,0))</f>
        <v>Чугунова Ольга Викторовна</v>
      </c>
      <c r="C16" s="34">
        <v>0</v>
      </c>
      <c r="D16" s="34">
        <v>1</v>
      </c>
      <c r="E16" s="14">
        <f t="shared" si="12"/>
        <v>2</v>
      </c>
      <c r="F16" s="28">
        <v>31.4</v>
      </c>
      <c r="G16" s="57"/>
      <c r="H16" s="14">
        <f t="shared" si="13"/>
        <v>0</v>
      </c>
      <c r="I16" s="14">
        <f t="shared" si="14"/>
        <v>1</v>
      </c>
      <c r="J16" s="14">
        <f t="shared" si="15"/>
        <v>0</v>
      </c>
      <c r="K16" s="29">
        <f t="shared" si="16"/>
        <v>0</v>
      </c>
      <c r="L16" s="14">
        <f t="shared" si="0"/>
        <v>0</v>
      </c>
      <c r="M16" s="34">
        <v>3</v>
      </c>
      <c r="N16" s="57"/>
      <c r="O16" s="14">
        <f t="shared" si="17"/>
        <v>6</v>
      </c>
      <c r="P16" s="28">
        <v>5.7</v>
      </c>
      <c r="Q16" s="57"/>
      <c r="R16" s="14">
        <f t="shared" si="18"/>
        <v>0</v>
      </c>
      <c r="S16" s="14">
        <f t="shared" si="19"/>
        <v>1</v>
      </c>
      <c r="T16" s="14">
        <f t="shared" si="20"/>
        <v>0</v>
      </c>
      <c r="U16" s="29">
        <f t="shared" si="21"/>
        <v>0</v>
      </c>
      <c r="V16" s="14">
        <f t="shared" si="1"/>
        <v>0</v>
      </c>
      <c r="W16" s="28">
        <v>3.7</v>
      </c>
      <c r="X16" s="57"/>
      <c r="Y16" s="14">
        <f t="shared" si="22"/>
        <v>0</v>
      </c>
      <c r="Z16" s="14">
        <f t="shared" si="23"/>
        <v>0</v>
      </c>
      <c r="AA16" s="14">
        <f t="shared" si="24"/>
        <v>0</v>
      </c>
      <c r="AB16" s="29">
        <f t="shared" si="25"/>
        <v>-0.10999999999999997</v>
      </c>
      <c r="AC16" s="14">
        <f t="shared" si="2"/>
        <v>7.89</v>
      </c>
      <c r="AD16" s="28">
        <v>11.2</v>
      </c>
      <c r="AE16" s="57"/>
      <c r="AF16" s="14">
        <f t="shared" si="26"/>
        <v>0</v>
      </c>
      <c r="AG16" s="14">
        <f t="shared" si="27"/>
        <v>0</v>
      </c>
      <c r="AH16" s="14">
        <f t="shared" si="28"/>
        <v>0</v>
      </c>
      <c r="AI16" s="29">
        <f t="shared" si="29"/>
        <v>-0.03999999999999986</v>
      </c>
      <c r="AJ16" s="14">
        <f t="shared" si="3"/>
        <v>7.96</v>
      </c>
      <c r="AK16" s="34">
        <v>3</v>
      </c>
      <c r="AL16" s="34">
        <v>2</v>
      </c>
      <c r="AM16" s="34">
        <v>2</v>
      </c>
      <c r="AN16" s="34">
        <v>2</v>
      </c>
      <c r="AO16" s="57"/>
      <c r="AP16" s="14">
        <f t="shared" si="30"/>
        <v>9</v>
      </c>
      <c r="AQ16" s="34">
        <v>45</v>
      </c>
      <c r="AR16" s="50">
        <v>1</v>
      </c>
      <c r="AS16" s="49">
        <f t="shared" si="31"/>
        <v>0</v>
      </c>
      <c r="AT16" s="34">
        <v>2</v>
      </c>
      <c r="AU16" s="34">
        <v>2</v>
      </c>
      <c r="AV16" s="34">
        <v>0</v>
      </c>
      <c r="AW16" s="57"/>
      <c r="AX16" s="14">
        <f t="shared" si="32"/>
        <v>6</v>
      </c>
      <c r="AY16" s="57"/>
      <c r="AZ16" s="57"/>
      <c r="BA16" s="57"/>
      <c r="BB16" s="57"/>
      <c r="BC16" s="29">
        <f t="shared" si="33"/>
        <v>0</v>
      </c>
      <c r="BD16" s="57"/>
      <c r="BE16" s="15">
        <v>0.2298611111111111</v>
      </c>
      <c r="BF16" s="49">
        <f t="shared" si="34"/>
        <v>38.85</v>
      </c>
      <c r="BG16" s="34">
        <v>0</v>
      </c>
      <c r="BH16" s="39">
        <f t="shared" si="35"/>
        <v>38.85</v>
      </c>
      <c r="BI16" s="64"/>
      <c r="BM16" s="14">
        <f t="shared" si="4"/>
        <v>4.600000000000001</v>
      </c>
      <c r="BN16" s="14">
        <f t="shared" si="36"/>
        <v>4</v>
      </c>
      <c r="BO16" s="14">
        <f t="shared" si="37"/>
        <v>0.6000000000000014</v>
      </c>
      <c r="BP16" s="14">
        <f t="shared" si="5"/>
        <v>0</v>
      </c>
      <c r="BR16" s="14">
        <f t="shared" si="6"/>
        <v>3.3</v>
      </c>
      <c r="BS16" s="14">
        <f t="shared" si="38"/>
        <v>3</v>
      </c>
      <c r="BT16" s="14">
        <f t="shared" si="39"/>
        <v>0.2999999999999998</v>
      </c>
      <c r="BU16" s="14">
        <f t="shared" si="7"/>
        <v>0</v>
      </c>
      <c r="BW16" s="14">
        <f t="shared" si="8"/>
        <v>1.0999999999999996</v>
      </c>
      <c r="BX16" s="14">
        <f t="shared" si="40"/>
        <v>1</v>
      </c>
      <c r="BY16" s="14">
        <f t="shared" si="41"/>
        <v>0.09999999999999964</v>
      </c>
      <c r="BZ16" s="14">
        <f t="shared" si="9"/>
        <v>1</v>
      </c>
      <c r="CB16" s="14">
        <f t="shared" si="10"/>
        <v>0.3999999999999986</v>
      </c>
      <c r="CC16" s="14">
        <f t="shared" si="42"/>
        <v>0</v>
      </c>
      <c r="CD16" s="14">
        <f t="shared" si="43"/>
        <v>0.3999999999999986</v>
      </c>
      <c r="CE16" s="14">
        <f t="shared" si="11"/>
        <v>1</v>
      </c>
    </row>
    <row r="17" spans="1:83" ht="12.75">
      <c r="A17" s="34">
        <v>8</v>
      </c>
      <c r="B17" s="54" t="str">
        <f>IF(A17="","",VLOOKUP(A17,Жеребьевка!$A$6:$C$45,2,0))</f>
        <v>Фомин Владимир Александрович</v>
      </c>
      <c r="C17" s="34">
        <v>1</v>
      </c>
      <c r="D17" s="34">
        <v>1</v>
      </c>
      <c r="E17" s="14">
        <f t="shared" si="12"/>
        <v>3</v>
      </c>
      <c r="F17" s="28">
        <v>53.6</v>
      </c>
      <c r="G17" s="57"/>
      <c r="H17" s="14">
        <f t="shared" si="13"/>
        <v>0</v>
      </c>
      <c r="I17" s="14">
        <f t="shared" si="14"/>
        <v>0</v>
      </c>
      <c r="J17" s="14">
        <f t="shared" si="15"/>
        <v>1</v>
      </c>
      <c r="K17" s="29">
        <f t="shared" si="16"/>
        <v>0</v>
      </c>
      <c r="L17" s="14">
        <f t="shared" si="0"/>
        <v>0</v>
      </c>
      <c r="M17" s="34">
        <v>5</v>
      </c>
      <c r="N17" s="57"/>
      <c r="O17" s="14">
        <f t="shared" si="17"/>
        <v>10</v>
      </c>
      <c r="P17" s="28">
        <v>9.4</v>
      </c>
      <c r="Q17" s="57"/>
      <c r="R17" s="14">
        <f t="shared" si="18"/>
        <v>0</v>
      </c>
      <c r="S17" s="14">
        <f t="shared" si="19"/>
        <v>0</v>
      </c>
      <c r="T17" s="14">
        <f t="shared" si="20"/>
        <v>0</v>
      </c>
      <c r="U17" s="29">
        <f t="shared" si="21"/>
        <v>-0.040000000000000036</v>
      </c>
      <c r="V17" s="14">
        <f t="shared" si="1"/>
        <v>7.96</v>
      </c>
      <c r="W17" s="28">
        <v>4.3</v>
      </c>
      <c r="X17" s="57"/>
      <c r="Y17" s="14">
        <f t="shared" si="22"/>
        <v>0</v>
      </c>
      <c r="Z17" s="14">
        <f t="shared" si="23"/>
        <v>0</v>
      </c>
      <c r="AA17" s="14">
        <f t="shared" si="24"/>
        <v>0</v>
      </c>
      <c r="AB17" s="29">
        <f t="shared" si="25"/>
        <v>-0.05</v>
      </c>
      <c r="AC17" s="14">
        <f t="shared" si="2"/>
        <v>7.95</v>
      </c>
      <c r="AD17" s="28">
        <v>11.2</v>
      </c>
      <c r="AE17" s="57"/>
      <c r="AF17" s="14">
        <f t="shared" si="26"/>
        <v>0</v>
      </c>
      <c r="AG17" s="14">
        <f t="shared" si="27"/>
        <v>0</v>
      </c>
      <c r="AH17" s="14">
        <f t="shared" si="28"/>
        <v>0</v>
      </c>
      <c r="AI17" s="29">
        <f t="shared" si="29"/>
        <v>-0.03999999999999986</v>
      </c>
      <c r="AJ17" s="14">
        <f t="shared" si="3"/>
        <v>7.96</v>
      </c>
      <c r="AK17" s="34">
        <v>2</v>
      </c>
      <c r="AL17" s="34">
        <v>2</v>
      </c>
      <c r="AM17" s="34">
        <v>2</v>
      </c>
      <c r="AN17" s="34">
        <v>2</v>
      </c>
      <c r="AO17" s="57"/>
      <c r="AP17" s="14">
        <f t="shared" si="30"/>
        <v>8</v>
      </c>
      <c r="AQ17" s="34">
        <v>43</v>
      </c>
      <c r="AR17" s="50">
        <v>1</v>
      </c>
      <c r="AS17" s="49">
        <f t="shared" si="31"/>
        <v>0</v>
      </c>
      <c r="AT17" s="34">
        <v>3</v>
      </c>
      <c r="AU17" s="34">
        <v>2</v>
      </c>
      <c r="AV17" s="34">
        <v>2</v>
      </c>
      <c r="AW17" s="57"/>
      <c r="AX17" s="14">
        <f t="shared" si="32"/>
        <v>10</v>
      </c>
      <c r="AY17" s="57"/>
      <c r="AZ17" s="57"/>
      <c r="BA17" s="57"/>
      <c r="BB17" s="57"/>
      <c r="BC17" s="29">
        <f t="shared" si="33"/>
        <v>0</v>
      </c>
      <c r="BD17" s="57"/>
      <c r="BE17" s="15">
        <v>0.2736111111111111</v>
      </c>
      <c r="BF17" s="49">
        <f t="shared" si="34"/>
        <v>54.87</v>
      </c>
      <c r="BG17" s="34">
        <v>0</v>
      </c>
      <c r="BH17" s="39">
        <f t="shared" si="35"/>
        <v>54.87</v>
      </c>
      <c r="BI17" s="64"/>
      <c r="BM17" s="14">
        <f t="shared" si="4"/>
        <v>17.6</v>
      </c>
      <c r="BN17" s="14">
        <f t="shared" si="36"/>
        <v>17</v>
      </c>
      <c r="BO17" s="14">
        <f t="shared" si="37"/>
        <v>0.6000000000000014</v>
      </c>
      <c r="BP17" s="14">
        <f t="shared" si="5"/>
        <v>0</v>
      </c>
      <c r="BR17" s="14">
        <f t="shared" si="6"/>
        <v>0.40000000000000036</v>
      </c>
      <c r="BS17" s="14">
        <f t="shared" si="38"/>
        <v>0</v>
      </c>
      <c r="BT17" s="14">
        <f t="shared" si="39"/>
        <v>0.40000000000000036</v>
      </c>
      <c r="BU17" s="14">
        <f t="shared" si="7"/>
        <v>1</v>
      </c>
      <c r="BW17" s="14">
        <f t="shared" si="8"/>
        <v>0.5</v>
      </c>
      <c r="BX17" s="14">
        <f t="shared" si="40"/>
        <v>0</v>
      </c>
      <c r="BY17" s="14">
        <f t="shared" si="41"/>
        <v>0.5</v>
      </c>
      <c r="BZ17" s="14">
        <f t="shared" si="9"/>
        <v>1</v>
      </c>
      <c r="CB17" s="14">
        <f t="shared" si="10"/>
        <v>0.3999999999999986</v>
      </c>
      <c r="CC17" s="14">
        <f t="shared" si="42"/>
        <v>0</v>
      </c>
      <c r="CD17" s="14">
        <f t="shared" si="43"/>
        <v>0.3999999999999986</v>
      </c>
      <c r="CE17" s="14">
        <f t="shared" si="11"/>
        <v>1</v>
      </c>
    </row>
    <row r="18" spans="1:83" ht="12.75">
      <c r="A18" s="34">
        <v>9</v>
      </c>
      <c r="B18" s="54" t="str">
        <f>IF(A18="","",VLOOKUP(A18,Жеребьевка!$A$6:$C$45,2,0))</f>
        <v>Шустров Олег Николаевич</v>
      </c>
      <c r="C18" s="34">
        <v>1</v>
      </c>
      <c r="D18" s="34">
        <v>1</v>
      </c>
      <c r="E18" s="14">
        <f t="shared" si="12"/>
        <v>3</v>
      </c>
      <c r="F18" s="28">
        <v>40.3</v>
      </c>
      <c r="G18" s="57"/>
      <c r="H18" s="14">
        <f t="shared" si="13"/>
        <v>0</v>
      </c>
      <c r="I18" s="14">
        <f t="shared" si="14"/>
        <v>0</v>
      </c>
      <c r="J18" s="14">
        <f t="shared" si="15"/>
        <v>1</v>
      </c>
      <c r="K18" s="29">
        <f t="shared" si="16"/>
        <v>0</v>
      </c>
      <c r="L18" s="14">
        <f t="shared" si="0"/>
        <v>0</v>
      </c>
      <c r="M18" s="34">
        <v>3</v>
      </c>
      <c r="N18" s="57"/>
      <c r="O18" s="14">
        <f t="shared" si="17"/>
        <v>6</v>
      </c>
      <c r="P18" s="28">
        <v>7.6</v>
      </c>
      <c r="Q18" s="57"/>
      <c r="R18" s="14">
        <f t="shared" si="18"/>
        <v>0</v>
      </c>
      <c r="S18" s="14">
        <f t="shared" si="19"/>
        <v>0</v>
      </c>
      <c r="T18" s="14">
        <f t="shared" si="20"/>
        <v>0</v>
      </c>
      <c r="U18" s="29">
        <f t="shared" si="21"/>
        <v>-0.14000000000000004</v>
      </c>
      <c r="V18" s="14">
        <f t="shared" si="1"/>
        <v>7.86</v>
      </c>
      <c r="W18" s="28">
        <v>4</v>
      </c>
      <c r="X18" s="57"/>
      <c r="Y18" s="14">
        <f t="shared" si="22"/>
        <v>0</v>
      </c>
      <c r="Z18" s="14">
        <f t="shared" si="23"/>
        <v>0</v>
      </c>
      <c r="AA18" s="14">
        <f t="shared" si="24"/>
        <v>0</v>
      </c>
      <c r="AB18" s="29">
        <f t="shared" si="25"/>
        <v>-0.07999999999999999</v>
      </c>
      <c r="AC18" s="14">
        <f t="shared" si="2"/>
        <v>7.92</v>
      </c>
      <c r="AD18" s="28">
        <v>9.4</v>
      </c>
      <c r="AE18" s="57"/>
      <c r="AF18" s="14">
        <f t="shared" si="26"/>
        <v>0</v>
      </c>
      <c r="AG18" s="14">
        <f t="shared" si="27"/>
        <v>0</v>
      </c>
      <c r="AH18" s="14">
        <f t="shared" si="28"/>
        <v>0</v>
      </c>
      <c r="AI18" s="29">
        <f t="shared" si="29"/>
        <v>-0.14000000000000004</v>
      </c>
      <c r="AJ18" s="14">
        <f t="shared" si="3"/>
        <v>7.86</v>
      </c>
      <c r="AK18" s="34">
        <v>1</v>
      </c>
      <c r="AL18" s="34">
        <v>2</v>
      </c>
      <c r="AM18" s="34">
        <v>2</v>
      </c>
      <c r="AN18" s="34">
        <v>2</v>
      </c>
      <c r="AO18" s="57"/>
      <c r="AP18" s="14">
        <f t="shared" si="30"/>
        <v>7</v>
      </c>
      <c r="AQ18" s="34">
        <v>43</v>
      </c>
      <c r="AR18" s="50"/>
      <c r="AS18" s="49">
        <f t="shared" si="31"/>
        <v>15</v>
      </c>
      <c r="AT18" s="34">
        <v>1</v>
      </c>
      <c r="AU18" s="34">
        <v>2</v>
      </c>
      <c r="AV18" s="34">
        <v>2</v>
      </c>
      <c r="AW18" s="57"/>
      <c r="AX18" s="14">
        <f t="shared" si="32"/>
        <v>6</v>
      </c>
      <c r="AY18" s="57"/>
      <c r="AZ18" s="57"/>
      <c r="BA18" s="57"/>
      <c r="BB18" s="57"/>
      <c r="BC18" s="29">
        <f t="shared" si="33"/>
        <v>0</v>
      </c>
      <c r="BD18" s="57"/>
      <c r="BE18" s="15">
        <v>0.24722222222222223</v>
      </c>
      <c r="BF18" s="49">
        <f t="shared" si="34"/>
        <v>60.64</v>
      </c>
      <c r="BG18" s="34">
        <v>0</v>
      </c>
      <c r="BH18" s="39">
        <f t="shared" si="35"/>
        <v>60.64</v>
      </c>
      <c r="BI18" s="64"/>
      <c r="BM18" s="14">
        <f t="shared" si="4"/>
        <v>4.299999999999997</v>
      </c>
      <c r="BN18" s="14">
        <f t="shared" si="36"/>
        <v>4</v>
      </c>
      <c r="BO18" s="14">
        <f t="shared" si="37"/>
        <v>0.29999999999999716</v>
      </c>
      <c r="BP18" s="14">
        <f t="shared" si="5"/>
        <v>0</v>
      </c>
      <c r="BR18" s="14">
        <f t="shared" si="6"/>
        <v>1.4000000000000004</v>
      </c>
      <c r="BS18" s="14">
        <f t="shared" si="38"/>
        <v>1</v>
      </c>
      <c r="BT18" s="14">
        <f t="shared" si="39"/>
        <v>0.40000000000000036</v>
      </c>
      <c r="BU18" s="14">
        <f t="shared" si="7"/>
        <v>1</v>
      </c>
      <c r="BW18" s="14">
        <f t="shared" si="8"/>
        <v>0.7999999999999998</v>
      </c>
      <c r="BX18" s="14">
        <f t="shared" si="40"/>
        <v>0</v>
      </c>
      <c r="BY18" s="14">
        <f t="shared" si="41"/>
        <v>0.7999999999999998</v>
      </c>
      <c r="BZ18" s="14">
        <f t="shared" si="9"/>
        <v>1</v>
      </c>
      <c r="CB18" s="14">
        <f t="shared" si="10"/>
        <v>1.4000000000000004</v>
      </c>
      <c r="CC18" s="14">
        <f t="shared" si="42"/>
        <v>1</v>
      </c>
      <c r="CD18" s="14">
        <f t="shared" si="43"/>
        <v>0.40000000000000036</v>
      </c>
      <c r="CE18" s="14">
        <f t="shared" si="11"/>
        <v>1</v>
      </c>
    </row>
    <row r="19" spans="1:83" ht="12.75">
      <c r="A19" s="34">
        <v>10</v>
      </c>
      <c r="B19" s="54" t="str">
        <f>IF(A19="","",VLOOKUP(A19,Жеребьевка!$A$6:$C$45,2,0))</f>
        <v>Логинова Оксана Сергеевна</v>
      </c>
      <c r="C19" s="34">
        <v>1</v>
      </c>
      <c r="D19" s="34">
        <v>0</v>
      </c>
      <c r="E19" s="14">
        <f t="shared" si="12"/>
        <v>1</v>
      </c>
      <c r="F19" s="28">
        <v>38</v>
      </c>
      <c r="G19" s="57"/>
      <c r="H19" s="14">
        <f t="shared" si="13"/>
        <v>0</v>
      </c>
      <c r="I19" s="14">
        <f t="shared" si="14"/>
        <v>0</v>
      </c>
      <c r="J19" s="14">
        <f t="shared" si="15"/>
        <v>0</v>
      </c>
      <c r="K19" s="29">
        <f t="shared" si="16"/>
        <v>-0.2</v>
      </c>
      <c r="L19" s="14">
        <f t="shared" si="0"/>
        <v>7.8</v>
      </c>
      <c r="M19" s="34">
        <v>5</v>
      </c>
      <c r="N19" s="57"/>
      <c r="O19" s="14">
        <f t="shared" si="17"/>
        <v>10</v>
      </c>
      <c r="P19" s="28">
        <v>8.4</v>
      </c>
      <c r="Q19" s="57"/>
      <c r="R19" s="14">
        <f t="shared" si="18"/>
        <v>0</v>
      </c>
      <c r="S19" s="14">
        <f t="shared" si="19"/>
        <v>0</v>
      </c>
      <c r="T19" s="14">
        <f t="shared" si="20"/>
        <v>0</v>
      </c>
      <c r="U19" s="29">
        <f t="shared" si="21"/>
        <v>-0.05999999999999997</v>
      </c>
      <c r="V19" s="14">
        <f t="shared" si="1"/>
        <v>7.94</v>
      </c>
      <c r="W19" s="28">
        <v>4.3</v>
      </c>
      <c r="X19" s="57"/>
      <c r="Y19" s="14">
        <f t="shared" si="22"/>
        <v>0</v>
      </c>
      <c r="Z19" s="14">
        <f t="shared" si="23"/>
        <v>0</v>
      </c>
      <c r="AA19" s="14">
        <f t="shared" si="24"/>
        <v>0</v>
      </c>
      <c r="AB19" s="29">
        <f t="shared" si="25"/>
        <v>-0.05</v>
      </c>
      <c r="AC19" s="14">
        <f t="shared" si="2"/>
        <v>7.95</v>
      </c>
      <c r="AD19" s="28">
        <v>9.2</v>
      </c>
      <c r="AE19" s="57"/>
      <c r="AF19" s="14">
        <f t="shared" si="26"/>
        <v>0</v>
      </c>
      <c r="AG19" s="14">
        <f t="shared" si="27"/>
        <v>0</v>
      </c>
      <c r="AH19" s="14">
        <f t="shared" si="28"/>
        <v>0</v>
      </c>
      <c r="AI19" s="29">
        <f t="shared" si="29"/>
        <v>-0.16000000000000014</v>
      </c>
      <c r="AJ19" s="14">
        <f t="shared" si="3"/>
        <v>7.84</v>
      </c>
      <c r="AK19" s="34">
        <v>0</v>
      </c>
      <c r="AL19" s="34">
        <v>2</v>
      </c>
      <c r="AM19" s="34">
        <v>2</v>
      </c>
      <c r="AN19" s="34">
        <v>2</v>
      </c>
      <c r="AO19" s="57">
        <v>1</v>
      </c>
      <c r="AP19" s="14">
        <f t="shared" si="30"/>
        <v>0</v>
      </c>
      <c r="AQ19" s="34">
        <v>41</v>
      </c>
      <c r="AR19" s="50"/>
      <c r="AS19" s="49">
        <f t="shared" si="31"/>
        <v>15</v>
      </c>
      <c r="AT19" s="34">
        <v>3</v>
      </c>
      <c r="AU19" s="34">
        <v>2</v>
      </c>
      <c r="AV19" s="34">
        <v>2</v>
      </c>
      <c r="AW19" s="57"/>
      <c r="AX19" s="14">
        <f t="shared" si="32"/>
        <v>10</v>
      </c>
      <c r="AY19" s="57"/>
      <c r="AZ19" s="57"/>
      <c r="BA19" s="57"/>
      <c r="BB19" s="57"/>
      <c r="BC19" s="29">
        <f t="shared" si="33"/>
        <v>0</v>
      </c>
      <c r="BD19" s="57"/>
      <c r="BE19" s="15">
        <v>0.19930555555555554</v>
      </c>
      <c r="BF19" s="49">
        <f t="shared" si="34"/>
        <v>67.53</v>
      </c>
      <c r="BG19" s="34">
        <v>0</v>
      </c>
      <c r="BH19" s="39">
        <f t="shared" si="35"/>
        <v>67.53</v>
      </c>
      <c r="BI19" s="64"/>
      <c r="BM19" s="14">
        <f t="shared" si="4"/>
        <v>2</v>
      </c>
      <c r="BN19" s="14">
        <f t="shared" si="36"/>
        <v>2</v>
      </c>
      <c r="BO19" s="14">
        <f t="shared" si="37"/>
        <v>0</v>
      </c>
      <c r="BP19" s="14">
        <f t="shared" si="5"/>
        <v>1</v>
      </c>
      <c r="BR19" s="14">
        <f t="shared" si="6"/>
        <v>0.5999999999999996</v>
      </c>
      <c r="BS19" s="14">
        <f t="shared" si="38"/>
        <v>0</v>
      </c>
      <c r="BT19" s="14">
        <f t="shared" si="39"/>
        <v>0.5999999999999996</v>
      </c>
      <c r="BU19" s="14">
        <f t="shared" si="7"/>
        <v>1</v>
      </c>
      <c r="BW19" s="14">
        <f t="shared" si="8"/>
        <v>0.5</v>
      </c>
      <c r="BX19" s="14">
        <f t="shared" si="40"/>
        <v>0</v>
      </c>
      <c r="BY19" s="14">
        <f t="shared" si="41"/>
        <v>0.5</v>
      </c>
      <c r="BZ19" s="14">
        <f t="shared" si="9"/>
        <v>1</v>
      </c>
      <c r="CB19" s="14">
        <f t="shared" si="10"/>
        <v>1.6000000000000014</v>
      </c>
      <c r="CC19" s="14">
        <f t="shared" si="42"/>
        <v>1</v>
      </c>
      <c r="CD19" s="14">
        <f t="shared" si="43"/>
        <v>0.6000000000000014</v>
      </c>
      <c r="CE19" s="14">
        <f t="shared" si="11"/>
        <v>1</v>
      </c>
    </row>
    <row r="20" spans="1:83" ht="12.75">
      <c r="A20" s="34">
        <v>11</v>
      </c>
      <c r="B20" s="54" t="str">
        <f>IF(A20="","",VLOOKUP(A20,Жеребьевка!$A$6:$C$45,2,0))</f>
        <v>Шахворостова Олеся Владимировна</v>
      </c>
      <c r="C20" s="34">
        <v>1</v>
      </c>
      <c r="D20" s="34">
        <v>1</v>
      </c>
      <c r="E20" s="14">
        <f t="shared" si="12"/>
        <v>3</v>
      </c>
      <c r="F20" s="28">
        <v>34.5</v>
      </c>
      <c r="G20" s="57"/>
      <c r="H20" s="14">
        <f t="shared" si="13"/>
        <v>0</v>
      </c>
      <c r="I20" s="14">
        <f t="shared" si="14"/>
        <v>0</v>
      </c>
      <c r="J20" s="14">
        <f t="shared" si="15"/>
        <v>0</v>
      </c>
      <c r="K20" s="29">
        <f t="shared" si="16"/>
        <v>-0.15000000000000002</v>
      </c>
      <c r="L20" s="14">
        <f t="shared" si="0"/>
        <v>7.85</v>
      </c>
      <c r="M20" s="34">
        <v>3</v>
      </c>
      <c r="N20" s="57"/>
      <c r="O20" s="14">
        <f t="shared" si="17"/>
        <v>6</v>
      </c>
      <c r="P20" s="28">
        <v>7.9</v>
      </c>
      <c r="Q20" s="57"/>
      <c r="R20" s="14">
        <f t="shared" si="18"/>
        <v>0</v>
      </c>
      <c r="S20" s="14">
        <f t="shared" si="19"/>
        <v>0</v>
      </c>
      <c r="T20" s="14">
        <f t="shared" si="20"/>
        <v>0</v>
      </c>
      <c r="U20" s="29">
        <f t="shared" si="21"/>
        <v>-0.10999999999999997</v>
      </c>
      <c r="V20" s="14">
        <f t="shared" si="1"/>
        <v>7.89</v>
      </c>
      <c r="W20" s="28">
        <v>4.5</v>
      </c>
      <c r="X20" s="57"/>
      <c r="Y20" s="14">
        <f t="shared" si="22"/>
        <v>0</v>
      </c>
      <c r="Z20" s="14">
        <f t="shared" si="23"/>
        <v>0</v>
      </c>
      <c r="AA20" s="14">
        <f t="shared" si="24"/>
        <v>0</v>
      </c>
      <c r="AB20" s="29">
        <f t="shared" si="25"/>
        <v>-0.029999999999999985</v>
      </c>
      <c r="AC20" s="14">
        <f t="shared" si="2"/>
        <v>7.97</v>
      </c>
      <c r="AD20" s="28">
        <v>10.6</v>
      </c>
      <c r="AE20" s="57"/>
      <c r="AF20" s="14">
        <f t="shared" si="26"/>
        <v>0</v>
      </c>
      <c r="AG20" s="14">
        <f t="shared" si="27"/>
        <v>0</v>
      </c>
      <c r="AH20" s="14">
        <f t="shared" si="28"/>
        <v>0</v>
      </c>
      <c r="AI20" s="29">
        <f t="shared" si="29"/>
        <v>-0.020000000000000108</v>
      </c>
      <c r="AJ20" s="14">
        <f t="shared" si="3"/>
        <v>7.9799999999999995</v>
      </c>
      <c r="AK20" s="34">
        <v>2</v>
      </c>
      <c r="AL20" s="34">
        <v>2</v>
      </c>
      <c r="AM20" s="34">
        <v>2</v>
      </c>
      <c r="AN20" s="34">
        <v>2</v>
      </c>
      <c r="AO20" s="57"/>
      <c r="AP20" s="14">
        <f t="shared" si="30"/>
        <v>8</v>
      </c>
      <c r="AQ20" s="34">
        <v>41</v>
      </c>
      <c r="AR20" s="50">
        <v>1</v>
      </c>
      <c r="AS20" s="49">
        <f t="shared" si="31"/>
        <v>0</v>
      </c>
      <c r="AT20" s="34">
        <v>1</v>
      </c>
      <c r="AU20" s="34">
        <v>2</v>
      </c>
      <c r="AV20" s="34">
        <v>2</v>
      </c>
      <c r="AW20" s="57"/>
      <c r="AX20" s="14">
        <f t="shared" si="32"/>
        <v>6</v>
      </c>
      <c r="AY20" s="57"/>
      <c r="AZ20" s="57"/>
      <c r="BA20" s="57"/>
      <c r="BB20" s="57"/>
      <c r="BC20" s="29">
        <f t="shared" si="33"/>
        <v>0</v>
      </c>
      <c r="BD20" s="57"/>
      <c r="BE20" s="15">
        <v>0.19166666666666665</v>
      </c>
      <c r="BF20" s="49">
        <f t="shared" si="34"/>
        <v>54.69</v>
      </c>
      <c r="BG20" s="34">
        <v>0</v>
      </c>
      <c r="BH20" s="39">
        <f t="shared" si="35"/>
        <v>54.69</v>
      </c>
      <c r="BI20" s="64"/>
      <c r="BM20" s="14">
        <f t="shared" si="4"/>
        <v>1.5</v>
      </c>
      <c r="BN20" s="14">
        <f t="shared" si="36"/>
        <v>1</v>
      </c>
      <c r="BO20" s="14">
        <f t="shared" si="37"/>
        <v>0.5</v>
      </c>
      <c r="BP20" s="14">
        <f t="shared" si="5"/>
        <v>1</v>
      </c>
      <c r="BR20" s="14">
        <f t="shared" si="6"/>
        <v>1.0999999999999996</v>
      </c>
      <c r="BS20" s="14">
        <f t="shared" si="38"/>
        <v>1</v>
      </c>
      <c r="BT20" s="14">
        <f t="shared" si="39"/>
        <v>0.09999999999999964</v>
      </c>
      <c r="BU20" s="14">
        <f t="shared" si="7"/>
        <v>1</v>
      </c>
      <c r="BW20" s="14">
        <f t="shared" si="8"/>
        <v>0.2999999999999998</v>
      </c>
      <c r="BX20" s="14">
        <f t="shared" si="40"/>
        <v>0</v>
      </c>
      <c r="BY20" s="14">
        <f t="shared" si="41"/>
        <v>0.2999999999999998</v>
      </c>
      <c r="BZ20" s="14">
        <f t="shared" si="9"/>
        <v>1</v>
      </c>
      <c r="CB20" s="14">
        <f t="shared" si="10"/>
        <v>0.20000000000000107</v>
      </c>
      <c r="CC20" s="14">
        <f t="shared" si="42"/>
        <v>0</v>
      </c>
      <c r="CD20" s="14">
        <f t="shared" si="43"/>
        <v>0.20000000000000107</v>
      </c>
      <c r="CE20" s="14">
        <f t="shared" si="11"/>
        <v>1</v>
      </c>
    </row>
    <row r="21" spans="1:83" ht="12.75">
      <c r="A21" s="34">
        <v>12</v>
      </c>
      <c r="B21" s="54" t="str">
        <f>IF(A21="","",VLOOKUP(A21,Жеребьевка!$A$6:$C$45,2,0))</f>
        <v>Бондаренко Станислав Геннадьевич</v>
      </c>
      <c r="C21" s="34">
        <v>1</v>
      </c>
      <c r="D21" s="34">
        <v>0</v>
      </c>
      <c r="E21" s="14">
        <f t="shared" si="12"/>
        <v>1</v>
      </c>
      <c r="F21" s="28">
        <v>26.7</v>
      </c>
      <c r="G21" s="57"/>
      <c r="H21" s="14">
        <f t="shared" si="13"/>
        <v>0</v>
      </c>
      <c r="I21" s="14">
        <f t="shared" si="14"/>
        <v>1</v>
      </c>
      <c r="J21" s="14">
        <f t="shared" si="15"/>
        <v>0</v>
      </c>
      <c r="K21" s="29">
        <f t="shared" si="16"/>
        <v>0</v>
      </c>
      <c r="L21" s="14">
        <f t="shared" si="0"/>
        <v>0</v>
      </c>
      <c r="M21" s="34">
        <v>2</v>
      </c>
      <c r="N21" s="57">
        <v>1</v>
      </c>
      <c r="O21" s="14">
        <f t="shared" si="17"/>
        <v>0</v>
      </c>
      <c r="P21" s="28">
        <v>7.8</v>
      </c>
      <c r="Q21" s="57"/>
      <c r="R21" s="14">
        <f t="shared" si="18"/>
        <v>0</v>
      </c>
      <c r="S21" s="14">
        <f t="shared" si="19"/>
        <v>0</v>
      </c>
      <c r="T21" s="14">
        <f t="shared" si="20"/>
        <v>0</v>
      </c>
      <c r="U21" s="29">
        <f t="shared" si="21"/>
        <v>-0.12000000000000002</v>
      </c>
      <c r="V21" s="14">
        <f t="shared" si="1"/>
        <v>7.88</v>
      </c>
      <c r="W21" s="28">
        <v>5</v>
      </c>
      <c r="X21" s="57"/>
      <c r="Y21" s="14">
        <f t="shared" si="22"/>
        <v>0</v>
      </c>
      <c r="Z21" s="14">
        <f t="shared" si="23"/>
        <v>0</v>
      </c>
      <c r="AA21" s="14">
        <f t="shared" si="24"/>
        <v>0</v>
      </c>
      <c r="AB21" s="29">
        <f t="shared" si="25"/>
        <v>-0.020000000000000018</v>
      </c>
      <c r="AC21" s="14">
        <f t="shared" si="2"/>
        <v>7.98</v>
      </c>
      <c r="AD21" s="28">
        <v>10.6</v>
      </c>
      <c r="AE21" s="57"/>
      <c r="AF21" s="14">
        <f t="shared" si="26"/>
        <v>0</v>
      </c>
      <c r="AG21" s="14">
        <f t="shared" si="27"/>
        <v>0</v>
      </c>
      <c r="AH21" s="14">
        <f t="shared" si="28"/>
        <v>0</v>
      </c>
      <c r="AI21" s="29">
        <f t="shared" si="29"/>
        <v>-0.020000000000000108</v>
      </c>
      <c r="AJ21" s="14">
        <f t="shared" si="3"/>
        <v>7.9799999999999995</v>
      </c>
      <c r="AK21" s="34">
        <v>0</v>
      </c>
      <c r="AL21" s="34">
        <v>0</v>
      </c>
      <c r="AM21" s="34">
        <v>0</v>
      </c>
      <c r="AN21" s="34">
        <v>0</v>
      </c>
      <c r="AO21" s="57">
        <v>1</v>
      </c>
      <c r="AP21" s="14">
        <f t="shared" si="30"/>
        <v>0</v>
      </c>
      <c r="AQ21" s="34">
        <v>39</v>
      </c>
      <c r="AR21" s="50"/>
      <c r="AS21" s="49">
        <f t="shared" si="31"/>
        <v>12</v>
      </c>
      <c r="AT21" s="34">
        <v>2</v>
      </c>
      <c r="AU21" s="34">
        <v>2</v>
      </c>
      <c r="AV21" s="34">
        <v>2</v>
      </c>
      <c r="AW21" s="57"/>
      <c r="AX21" s="14">
        <f t="shared" si="32"/>
        <v>8</v>
      </c>
      <c r="AY21" s="57"/>
      <c r="AZ21" s="57"/>
      <c r="BA21" s="57"/>
      <c r="BB21" s="57"/>
      <c r="BC21" s="29">
        <f t="shared" si="33"/>
        <v>0</v>
      </c>
      <c r="BD21" s="57"/>
      <c r="BE21" s="15">
        <v>0.20486111111111113</v>
      </c>
      <c r="BF21" s="49">
        <f t="shared" si="34"/>
        <v>44.84</v>
      </c>
      <c r="BG21" s="34">
        <v>0</v>
      </c>
      <c r="BH21" s="39">
        <f t="shared" si="35"/>
        <v>44.84</v>
      </c>
      <c r="BI21" s="64"/>
      <c r="BM21" s="14">
        <f t="shared" si="4"/>
        <v>9.3</v>
      </c>
      <c r="BN21" s="14">
        <f t="shared" si="36"/>
        <v>9</v>
      </c>
      <c r="BO21" s="14">
        <f t="shared" si="37"/>
        <v>0.3000000000000007</v>
      </c>
      <c r="BP21" s="14">
        <f t="shared" si="5"/>
        <v>0</v>
      </c>
      <c r="BR21" s="14">
        <f t="shared" si="6"/>
        <v>1.2000000000000002</v>
      </c>
      <c r="BS21" s="14">
        <f t="shared" si="38"/>
        <v>1</v>
      </c>
      <c r="BT21" s="14">
        <f t="shared" si="39"/>
        <v>0.20000000000000018</v>
      </c>
      <c r="BU21" s="14">
        <f t="shared" si="7"/>
        <v>1</v>
      </c>
      <c r="BW21" s="14">
        <f t="shared" si="8"/>
        <v>0.20000000000000018</v>
      </c>
      <c r="BX21" s="14">
        <f t="shared" si="40"/>
        <v>0</v>
      </c>
      <c r="BY21" s="14">
        <f t="shared" si="41"/>
        <v>0.20000000000000018</v>
      </c>
      <c r="BZ21" s="14">
        <f t="shared" si="9"/>
        <v>1</v>
      </c>
      <c r="CB21" s="14">
        <f t="shared" si="10"/>
        <v>0.20000000000000107</v>
      </c>
      <c r="CC21" s="14">
        <f t="shared" si="42"/>
        <v>0</v>
      </c>
      <c r="CD21" s="14">
        <f t="shared" si="43"/>
        <v>0.20000000000000107</v>
      </c>
      <c r="CE21" s="14">
        <f t="shared" si="11"/>
        <v>1</v>
      </c>
    </row>
    <row r="22" spans="1:83" ht="12.75">
      <c r="A22" s="34">
        <v>13</v>
      </c>
      <c r="B22" s="54" t="str">
        <f>IF(A22="","",VLOOKUP(A22,Жеребьевка!$A$6:$C$45,2,0))</f>
        <v>Панкин Алексей Владимирович</v>
      </c>
      <c r="C22" s="34">
        <v>1</v>
      </c>
      <c r="D22" s="34">
        <v>0</v>
      </c>
      <c r="E22" s="14">
        <f t="shared" si="12"/>
        <v>1</v>
      </c>
      <c r="F22" s="28">
        <v>45.3</v>
      </c>
      <c r="G22" s="57"/>
      <c r="H22" s="14">
        <f t="shared" si="13"/>
        <v>0</v>
      </c>
      <c r="I22" s="14">
        <f t="shared" si="14"/>
        <v>0</v>
      </c>
      <c r="J22" s="14">
        <f t="shared" si="15"/>
        <v>1</v>
      </c>
      <c r="K22" s="29">
        <f t="shared" si="16"/>
        <v>0</v>
      </c>
      <c r="L22" s="14">
        <f t="shared" si="0"/>
        <v>0</v>
      </c>
      <c r="M22" s="34">
        <v>5</v>
      </c>
      <c r="N22" s="57"/>
      <c r="O22" s="14">
        <f t="shared" si="17"/>
        <v>10</v>
      </c>
      <c r="P22" s="28">
        <v>5.8</v>
      </c>
      <c r="Q22" s="57"/>
      <c r="R22" s="14">
        <f t="shared" si="18"/>
        <v>0</v>
      </c>
      <c r="S22" s="14">
        <f t="shared" si="19"/>
        <v>1</v>
      </c>
      <c r="T22" s="14">
        <f t="shared" si="20"/>
        <v>0</v>
      </c>
      <c r="U22" s="29">
        <f t="shared" si="21"/>
        <v>0</v>
      </c>
      <c r="V22" s="14">
        <f t="shared" si="1"/>
        <v>0</v>
      </c>
      <c r="W22" s="28">
        <v>4</v>
      </c>
      <c r="X22" s="57"/>
      <c r="Y22" s="14">
        <f t="shared" si="22"/>
        <v>0</v>
      </c>
      <c r="Z22" s="14">
        <f t="shared" si="23"/>
        <v>0</v>
      </c>
      <c r="AA22" s="14">
        <f t="shared" si="24"/>
        <v>0</v>
      </c>
      <c r="AB22" s="29">
        <f t="shared" si="25"/>
        <v>-0.07999999999999999</v>
      </c>
      <c r="AC22" s="14">
        <f t="shared" si="2"/>
        <v>7.92</v>
      </c>
      <c r="AD22" s="28">
        <v>10.4</v>
      </c>
      <c r="AE22" s="57"/>
      <c r="AF22" s="14">
        <f t="shared" si="26"/>
        <v>0</v>
      </c>
      <c r="AG22" s="14">
        <f t="shared" si="27"/>
        <v>0</v>
      </c>
      <c r="AH22" s="14">
        <f t="shared" si="28"/>
        <v>0</v>
      </c>
      <c r="AI22" s="29">
        <f t="shared" si="29"/>
        <v>-0.040000000000000036</v>
      </c>
      <c r="AJ22" s="14">
        <f t="shared" si="3"/>
        <v>7.96</v>
      </c>
      <c r="AK22" s="34">
        <v>3</v>
      </c>
      <c r="AL22" s="34">
        <v>2</v>
      </c>
      <c r="AM22" s="34">
        <v>2</v>
      </c>
      <c r="AN22" s="34">
        <v>0</v>
      </c>
      <c r="AO22" s="57"/>
      <c r="AP22" s="14">
        <f t="shared" si="30"/>
        <v>7</v>
      </c>
      <c r="AQ22" s="34">
        <v>40</v>
      </c>
      <c r="AR22" s="50">
        <v>1</v>
      </c>
      <c r="AS22" s="49">
        <f t="shared" si="31"/>
        <v>0</v>
      </c>
      <c r="AT22" s="34">
        <v>2</v>
      </c>
      <c r="AU22" s="34">
        <v>2</v>
      </c>
      <c r="AV22" s="34">
        <v>2</v>
      </c>
      <c r="AW22" s="57"/>
      <c r="AX22" s="14">
        <f t="shared" si="32"/>
        <v>8</v>
      </c>
      <c r="AY22" s="57"/>
      <c r="AZ22" s="57"/>
      <c r="BA22" s="57"/>
      <c r="BB22" s="57"/>
      <c r="BC22" s="29">
        <f t="shared" si="33"/>
        <v>0</v>
      </c>
      <c r="BD22" s="57"/>
      <c r="BE22" s="15">
        <v>0.22430555555555556</v>
      </c>
      <c r="BF22" s="49">
        <f t="shared" si="34"/>
        <v>41.88</v>
      </c>
      <c r="BG22" s="34">
        <v>0</v>
      </c>
      <c r="BH22" s="39">
        <f t="shared" si="35"/>
        <v>41.88</v>
      </c>
      <c r="BI22" s="64"/>
      <c r="BM22" s="14">
        <f t="shared" si="4"/>
        <v>9.299999999999997</v>
      </c>
      <c r="BN22" s="14">
        <f t="shared" si="36"/>
        <v>9</v>
      </c>
      <c r="BO22" s="14">
        <f t="shared" si="37"/>
        <v>0.29999999999999716</v>
      </c>
      <c r="BP22" s="14">
        <f t="shared" si="5"/>
        <v>0</v>
      </c>
      <c r="BR22" s="14">
        <f t="shared" si="6"/>
        <v>3.2</v>
      </c>
      <c r="BS22" s="14">
        <f t="shared" si="38"/>
        <v>3</v>
      </c>
      <c r="BT22" s="14">
        <f t="shared" si="39"/>
        <v>0.20000000000000018</v>
      </c>
      <c r="BU22" s="14">
        <f t="shared" si="7"/>
        <v>0</v>
      </c>
      <c r="BW22" s="14">
        <f t="shared" si="8"/>
        <v>0.7999999999999998</v>
      </c>
      <c r="BX22" s="14">
        <f t="shared" si="40"/>
        <v>0</v>
      </c>
      <c r="BY22" s="14">
        <f t="shared" si="41"/>
        <v>0.7999999999999998</v>
      </c>
      <c r="BZ22" s="14">
        <f t="shared" si="9"/>
        <v>1</v>
      </c>
      <c r="CB22" s="14">
        <f t="shared" si="10"/>
        <v>0.40000000000000036</v>
      </c>
      <c r="CC22" s="14">
        <f t="shared" si="42"/>
        <v>0</v>
      </c>
      <c r="CD22" s="14">
        <f t="shared" si="43"/>
        <v>0.40000000000000036</v>
      </c>
      <c r="CE22" s="14">
        <f t="shared" si="11"/>
        <v>1</v>
      </c>
    </row>
    <row r="23" spans="1:83" ht="12.75">
      <c r="A23" s="34">
        <v>14</v>
      </c>
      <c r="B23" s="54" t="str">
        <f>IF(A23="","",VLOOKUP(A23,Жеребьевка!$A$6:$C$45,2,0))</f>
        <v>Скударнов Игорь Сергеевич</v>
      </c>
      <c r="C23" s="34">
        <v>1</v>
      </c>
      <c r="D23" s="34">
        <v>1</v>
      </c>
      <c r="E23" s="14">
        <f t="shared" si="12"/>
        <v>3</v>
      </c>
      <c r="F23" s="28">
        <v>32</v>
      </c>
      <c r="G23" s="57"/>
      <c r="H23" s="14">
        <f t="shared" si="13"/>
        <v>0</v>
      </c>
      <c r="I23" s="14">
        <f t="shared" si="14"/>
        <v>1</v>
      </c>
      <c r="J23" s="14">
        <f t="shared" si="15"/>
        <v>0</v>
      </c>
      <c r="K23" s="29">
        <f t="shared" si="16"/>
        <v>0</v>
      </c>
      <c r="L23" s="14">
        <f t="shared" si="0"/>
        <v>0</v>
      </c>
      <c r="M23" s="34">
        <v>4</v>
      </c>
      <c r="N23" s="57"/>
      <c r="O23" s="14">
        <f t="shared" si="17"/>
        <v>8</v>
      </c>
      <c r="P23" s="28">
        <v>6.2</v>
      </c>
      <c r="Q23" s="57"/>
      <c r="R23" s="14">
        <f t="shared" si="18"/>
        <v>0</v>
      </c>
      <c r="S23" s="14">
        <f t="shared" si="19"/>
        <v>0</v>
      </c>
      <c r="T23" s="14">
        <f t="shared" si="20"/>
        <v>0</v>
      </c>
      <c r="U23" s="29">
        <f t="shared" si="21"/>
        <v>-0.28</v>
      </c>
      <c r="V23" s="14">
        <f t="shared" si="1"/>
        <v>7.72</v>
      </c>
      <c r="W23" s="28">
        <v>4</v>
      </c>
      <c r="X23" s="57"/>
      <c r="Y23" s="14">
        <f t="shared" si="22"/>
        <v>0</v>
      </c>
      <c r="Z23" s="14">
        <f t="shared" si="23"/>
        <v>0</v>
      </c>
      <c r="AA23" s="14">
        <f t="shared" si="24"/>
        <v>0</v>
      </c>
      <c r="AB23" s="29">
        <f t="shared" si="25"/>
        <v>-0.07999999999999999</v>
      </c>
      <c r="AC23" s="14">
        <f t="shared" si="2"/>
        <v>7.92</v>
      </c>
      <c r="AD23" s="28">
        <v>9.2</v>
      </c>
      <c r="AE23" s="57"/>
      <c r="AF23" s="14">
        <f t="shared" si="26"/>
        <v>0</v>
      </c>
      <c r="AG23" s="14">
        <f t="shared" si="27"/>
        <v>0</v>
      </c>
      <c r="AH23" s="14">
        <f t="shared" si="28"/>
        <v>0</v>
      </c>
      <c r="AI23" s="29">
        <f t="shared" si="29"/>
        <v>-0.16000000000000014</v>
      </c>
      <c r="AJ23" s="14">
        <f t="shared" si="3"/>
        <v>7.84</v>
      </c>
      <c r="AK23" s="34">
        <v>2</v>
      </c>
      <c r="AL23" s="34">
        <v>2</v>
      </c>
      <c r="AM23" s="34">
        <v>2</v>
      </c>
      <c r="AN23" s="34">
        <v>2</v>
      </c>
      <c r="AO23" s="57"/>
      <c r="AP23" s="14">
        <f t="shared" si="30"/>
        <v>8</v>
      </c>
      <c r="AQ23" s="34">
        <v>43</v>
      </c>
      <c r="AR23" s="50"/>
      <c r="AS23" s="49">
        <f t="shared" si="31"/>
        <v>15</v>
      </c>
      <c r="AT23" s="34">
        <v>3</v>
      </c>
      <c r="AU23" s="34">
        <v>2</v>
      </c>
      <c r="AV23" s="34">
        <v>2</v>
      </c>
      <c r="AW23" s="57"/>
      <c r="AX23" s="14">
        <f t="shared" si="32"/>
        <v>10</v>
      </c>
      <c r="AY23" s="57"/>
      <c r="AZ23" s="57"/>
      <c r="BA23" s="57"/>
      <c r="BB23" s="57"/>
      <c r="BC23" s="29">
        <f t="shared" si="33"/>
        <v>0</v>
      </c>
      <c r="BD23" s="57"/>
      <c r="BE23" s="15">
        <v>0.21666666666666667</v>
      </c>
      <c r="BF23" s="49">
        <f t="shared" si="34"/>
        <v>67.48</v>
      </c>
      <c r="BG23" s="34">
        <v>0</v>
      </c>
      <c r="BH23" s="39">
        <f t="shared" si="35"/>
        <v>67.48</v>
      </c>
      <c r="BI23" s="64"/>
      <c r="BM23" s="14">
        <f t="shared" si="4"/>
        <v>4</v>
      </c>
      <c r="BN23" s="14">
        <f t="shared" si="36"/>
        <v>4</v>
      </c>
      <c r="BO23" s="14">
        <f t="shared" si="37"/>
        <v>0</v>
      </c>
      <c r="BP23" s="14">
        <f t="shared" si="5"/>
        <v>0</v>
      </c>
      <c r="BR23" s="14">
        <f t="shared" si="6"/>
        <v>2.8</v>
      </c>
      <c r="BS23" s="14">
        <f t="shared" si="38"/>
        <v>2</v>
      </c>
      <c r="BT23" s="14">
        <f t="shared" si="39"/>
        <v>0.7999999999999998</v>
      </c>
      <c r="BU23" s="14">
        <f t="shared" si="7"/>
        <v>1</v>
      </c>
      <c r="BW23" s="14">
        <f t="shared" si="8"/>
        <v>0.7999999999999998</v>
      </c>
      <c r="BX23" s="14">
        <f t="shared" si="40"/>
        <v>0</v>
      </c>
      <c r="BY23" s="14">
        <f t="shared" si="41"/>
        <v>0.7999999999999998</v>
      </c>
      <c r="BZ23" s="14">
        <f t="shared" si="9"/>
        <v>1</v>
      </c>
      <c r="CB23" s="14">
        <f t="shared" si="10"/>
        <v>1.6000000000000014</v>
      </c>
      <c r="CC23" s="14">
        <f t="shared" si="42"/>
        <v>1</v>
      </c>
      <c r="CD23" s="14">
        <f t="shared" si="43"/>
        <v>0.6000000000000014</v>
      </c>
      <c r="CE23" s="14">
        <f t="shared" si="11"/>
        <v>1</v>
      </c>
    </row>
    <row r="24" spans="1:83" ht="12.75">
      <c r="A24" s="34">
        <v>15</v>
      </c>
      <c r="B24" s="54" t="str">
        <f>IF(A24="","",VLOOKUP(A24,Жеребьевка!$A$6:$C$45,2,0))</f>
        <v>Грабилова Евгения Вячеславовна</v>
      </c>
      <c r="C24" s="34">
        <v>0</v>
      </c>
      <c r="D24" s="34">
        <v>0</v>
      </c>
      <c r="E24" s="14">
        <f t="shared" si="12"/>
        <v>0</v>
      </c>
      <c r="F24" s="28">
        <v>38.1</v>
      </c>
      <c r="G24" s="57"/>
      <c r="H24" s="14">
        <f t="shared" si="13"/>
        <v>0</v>
      </c>
      <c r="I24" s="14">
        <f t="shared" si="14"/>
        <v>0</v>
      </c>
      <c r="J24" s="14">
        <f t="shared" si="15"/>
        <v>0</v>
      </c>
      <c r="K24" s="29">
        <f t="shared" si="16"/>
        <v>-0.21000000000000016</v>
      </c>
      <c r="L24" s="14">
        <f t="shared" si="0"/>
        <v>7.79</v>
      </c>
      <c r="M24" s="34">
        <v>3</v>
      </c>
      <c r="N24" s="57">
        <v>1</v>
      </c>
      <c r="O24" s="14">
        <f t="shared" si="17"/>
        <v>0</v>
      </c>
      <c r="P24" s="28">
        <v>9.9</v>
      </c>
      <c r="Q24" s="57"/>
      <c r="R24" s="14">
        <f t="shared" si="18"/>
        <v>0</v>
      </c>
      <c r="S24" s="14">
        <f t="shared" si="19"/>
        <v>0</v>
      </c>
      <c r="T24" s="14">
        <f t="shared" si="20"/>
        <v>0</v>
      </c>
      <c r="U24" s="29">
        <f t="shared" si="21"/>
        <v>-0.09000000000000004</v>
      </c>
      <c r="V24" s="14">
        <f t="shared" si="1"/>
        <v>7.91</v>
      </c>
      <c r="W24" s="28">
        <v>4.7</v>
      </c>
      <c r="X24" s="57"/>
      <c r="Y24" s="14">
        <f t="shared" si="22"/>
        <v>0</v>
      </c>
      <c r="Z24" s="14">
        <f t="shared" si="23"/>
        <v>0</v>
      </c>
      <c r="AA24" s="14">
        <f t="shared" si="24"/>
        <v>0</v>
      </c>
      <c r="AB24" s="29">
        <f t="shared" si="25"/>
        <v>-0.009999999999999966</v>
      </c>
      <c r="AC24" s="14">
        <f t="shared" si="2"/>
        <v>7.99</v>
      </c>
      <c r="AD24" s="28">
        <v>12.6</v>
      </c>
      <c r="AE24" s="57"/>
      <c r="AF24" s="14">
        <f t="shared" si="26"/>
        <v>0</v>
      </c>
      <c r="AG24" s="14">
        <f t="shared" si="27"/>
        <v>0</v>
      </c>
      <c r="AH24" s="14">
        <f t="shared" si="28"/>
        <v>0</v>
      </c>
      <c r="AI24" s="29">
        <f t="shared" si="29"/>
        <v>-0.1799999999999999</v>
      </c>
      <c r="AJ24" s="14">
        <f t="shared" si="3"/>
        <v>7.82</v>
      </c>
      <c r="AK24" s="34">
        <v>1</v>
      </c>
      <c r="AL24" s="34">
        <v>2</v>
      </c>
      <c r="AM24" s="34">
        <v>2</v>
      </c>
      <c r="AN24" s="34">
        <v>0</v>
      </c>
      <c r="AO24" s="57"/>
      <c r="AP24" s="14">
        <f t="shared" si="30"/>
        <v>5</v>
      </c>
      <c r="AQ24" s="34">
        <v>38</v>
      </c>
      <c r="AR24" s="50">
        <v>1</v>
      </c>
      <c r="AS24" s="49">
        <f t="shared" si="31"/>
        <v>0</v>
      </c>
      <c r="AT24" s="34">
        <v>1</v>
      </c>
      <c r="AU24" s="34">
        <v>2</v>
      </c>
      <c r="AV24" s="34">
        <v>2</v>
      </c>
      <c r="AW24" s="57"/>
      <c r="AX24" s="14">
        <f t="shared" si="32"/>
        <v>6</v>
      </c>
      <c r="AY24" s="57"/>
      <c r="AZ24" s="57"/>
      <c r="BA24" s="57"/>
      <c r="BB24" s="57"/>
      <c r="BC24" s="29">
        <f t="shared" si="33"/>
        <v>0</v>
      </c>
      <c r="BD24" s="57">
        <v>1</v>
      </c>
      <c r="BE24" s="15">
        <v>0.19583333333333333</v>
      </c>
      <c r="BF24" s="49">
        <f t="shared" si="34"/>
        <v>0</v>
      </c>
      <c r="BG24" s="34">
        <v>0</v>
      </c>
      <c r="BH24" s="39">
        <f t="shared" si="35"/>
        <v>0</v>
      </c>
      <c r="BI24" s="64"/>
      <c r="BM24" s="14">
        <f t="shared" si="4"/>
        <v>2.1000000000000014</v>
      </c>
      <c r="BN24" s="14">
        <f t="shared" si="36"/>
        <v>2</v>
      </c>
      <c r="BO24" s="14">
        <f t="shared" si="37"/>
        <v>0.10000000000000142</v>
      </c>
      <c r="BP24" s="14">
        <f t="shared" si="5"/>
        <v>1</v>
      </c>
      <c r="BR24" s="14">
        <f t="shared" si="6"/>
        <v>0.9000000000000004</v>
      </c>
      <c r="BS24" s="14">
        <f t="shared" si="38"/>
        <v>0</v>
      </c>
      <c r="BT24" s="14">
        <f t="shared" si="39"/>
        <v>0.9000000000000004</v>
      </c>
      <c r="BU24" s="14">
        <f t="shared" si="7"/>
        <v>1</v>
      </c>
      <c r="BW24" s="14">
        <f t="shared" si="8"/>
        <v>0.09999999999999964</v>
      </c>
      <c r="BX24" s="14">
        <f t="shared" si="40"/>
        <v>0</v>
      </c>
      <c r="BY24" s="14">
        <f t="shared" si="41"/>
        <v>0.09999999999999964</v>
      </c>
      <c r="BZ24" s="14">
        <f t="shared" si="9"/>
        <v>1</v>
      </c>
      <c r="CB24" s="14">
        <f t="shared" si="10"/>
        <v>1.799999999999999</v>
      </c>
      <c r="CC24" s="14">
        <f t="shared" si="42"/>
        <v>1</v>
      </c>
      <c r="CD24" s="14">
        <f t="shared" si="43"/>
        <v>0.7999999999999989</v>
      </c>
      <c r="CE24" s="14">
        <f t="shared" si="11"/>
        <v>1</v>
      </c>
    </row>
    <row r="25" spans="1:83" ht="12.75">
      <c r="A25" s="34">
        <v>16</v>
      </c>
      <c r="B25" s="54" t="str">
        <f>IF(A25="","",VLOOKUP(A25,Жеребьевка!$A$6:$C$45,2,0))</f>
        <v>Поляков Денис Анатольевич</v>
      </c>
      <c r="C25" s="34">
        <v>1</v>
      </c>
      <c r="D25" s="34">
        <v>0</v>
      </c>
      <c r="E25" s="14">
        <f t="shared" si="12"/>
        <v>1</v>
      </c>
      <c r="F25" s="28">
        <v>27.4</v>
      </c>
      <c r="G25" s="57"/>
      <c r="H25" s="14">
        <f t="shared" si="13"/>
        <v>0</v>
      </c>
      <c r="I25" s="14">
        <f t="shared" si="14"/>
        <v>1</v>
      </c>
      <c r="J25" s="14">
        <f t="shared" si="15"/>
        <v>0</v>
      </c>
      <c r="K25" s="29">
        <f t="shared" si="16"/>
        <v>0</v>
      </c>
      <c r="L25" s="14">
        <f t="shared" si="0"/>
        <v>0</v>
      </c>
      <c r="M25" s="34">
        <v>4</v>
      </c>
      <c r="N25" s="57">
        <v>1</v>
      </c>
      <c r="O25" s="14">
        <f t="shared" si="17"/>
        <v>0</v>
      </c>
      <c r="P25" s="28">
        <v>6.8</v>
      </c>
      <c r="Q25" s="57"/>
      <c r="R25" s="14">
        <f t="shared" si="18"/>
        <v>0</v>
      </c>
      <c r="S25" s="14">
        <f t="shared" si="19"/>
        <v>0</v>
      </c>
      <c r="T25" s="14">
        <f t="shared" si="20"/>
        <v>0</v>
      </c>
      <c r="U25" s="29">
        <f t="shared" si="21"/>
        <v>-0.22000000000000003</v>
      </c>
      <c r="V25" s="14">
        <f t="shared" si="1"/>
        <v>7.78</v>
      </c>
      <c r="W25" s="28">
        <v>3.3</v>
      </c>
      <c r="X25" s="57"/>
      <c r="Y25" s="14">
        <f t="shared" si="22"/>
        <v>0</v>
      </c>
      <c r="Z25" s="14">
        <f t="shared" si="23"/>
        <v>0</v>
      </c>
      <c r="AA25" s="14">
        <f t="shared" si="24"/>
        <v>0</v>
      </c>
      <c r="AB25" s="29">
        <f t="shared" si="25"/>
        <v>-0.15000000000000002</v>
      </c>
      <c r="AC25" s="14">
        <f t="shared" si="2"/>
        <v>7.85</v>
      </c>
      <c r="AD25" s="28">
        <v>14.3</v>
      </c>
      <c r="AE25" s="57"/>
      <c r="AF25" s="14">
        <f t="shared" si="26"/>
        <v>0</v>
      </c>
      <c r="AG25" s="14">
        <f t="shared" si="27"/>
        <v>0</v>
      </c>
      <c r="AH25" s="14">
        <f t="shared" si="28"/>
        <v>1</v>
      </c>
      <c r="AI25" s="29">
        <f t="shared" si="29"/>
        <v>0</v>
      </c>
      <c r="AJ25" s="14">
        <f t="shared" si="3"/>
        <v>0</v>
      </c>
      <c r="AK25" s="34">
        <v>2</v>
      </c>
      <c r="AL25" s="34">
        <v>2</v>
      </c>
      <c r="AM25" s="34">
        <v>2</v>
      </c>
      <c r="AN25" s="34">
        <v>2</v>
      </c>
      <c r="AO25" s="57"/>
      <c r="AP25" s="14">
        <f t="shared" si="30"/>
        <v>8</v>
      </c>
      <c r="AQ25" s="34">
        <v>42</v>
      </c>
      <c r="AR25" s="50"/>
      <c r="AS25" s="49">
        <f t="shared" si="31"/>
        <v>15</v>
      </c>
      <c r="AT25" s="34">
        <v>2</v>
      </c>
      <c r="AU25" s="34">
        <v>2</v>
      </c>
      <c r="AV25" s="34">
        <v>2</v>
      </c>
      <c r="AW25" s="57"/>
      <c r="AX25" s="14">
        <f t="shared" si="32"/>
        <v>8</v>
      </c>
      <c r="AY25" s="57"/>
      <c r="AZ25" s="57"/>
      <c r="BA25" s="57"/>
      <c r="BB25" s="57"/>
      <c r="BC25" s="29">
        <f t="shared" si="33"/>
        <v>0</v>
      </c>
      <c r="BD25" s="57"/>
      <c r="BE25" s="15">
        <v>0.2027777777777778</v>
      </c>
      <c r="BF25" s="49">
        <f t="shared" si="34"/>
        <v>47.63</v>
      </c>
      <c r="BG25" s="34">
        <v>0</v>
      </c>
      <c r="BH25" s="39">
        <f t="shared" si="35"/>
        <v>47.63</v>
      </c>
      <c r="BI25" s="64"/>
      <c r="BM25" s="14">
        <f t="shared" si="4"/>
        <v>8.600000000000001</v>
      </c>
      <c r="BN25" s="14">
        <f t="shared" si="36"/>
        <v>8</v>
      </c>
      <c r="BO25" s="14">
        <f t="shared" si="37"/>
        <v>0.6000000000000014</v>
      </c>
      <c r="BP25" s="14">
        <f t="shared" si="5"/>
        <v>0</v>
      </c>
      <c r="BR25" s="14">
        <f t="shared" si="6"/>
        <v>2.2</v>
      </c>
      <c r="BS25" s="14">
        <f t="shared" si="38"/>
        <v>2</v>
      </c>
      <c r="BT25" s="14">
        <f t="shared" si="39"/>
        <v>0.20000000000000018</v>
      </c>
      <c r="BU25" s="14">
        <f t="shared" si="7"/>
        <v>1</v>
      </c>
      <c r="BW25" s="14">
        <f t="shared" si="8"/>
        <v>1.5</v>
      </c>
      <c r="BX25" s="14">
        <f t="shared" si="40"/>
        <v>1</v>
      </c>
      <c r="BY25" s="14">
        <f t="shared" si="41"/>
        <v>0.5</v>
      </c>
      <c r="BZ25" s="14">
        <f t="shared" si="9"/>
        <v>1</v>
      </c>
      <c r="CB25" s="14">
        <f t="shared" si="10"/>
        <v>3.5</v>
      </c>
      <c r="CC25" s="14">
        <f t="shared" si="42"/>
        <v>3</v>
      </c>
      <c r="CD25" s="14">
        <f t="shared" si="43"/>
        <v>0.5</v>
      </c>
      <c r="CE25" s="14">
        <f t="shared" si="11"/>
        <v>0</v>
      </c>
    </row>
    <row r="26" spans="1:83" ht="12.75">
      <c r="A26" s="34">
        <v>17</v>
      </c>
      <c r="B26" s="54" t="str">
        <f>IF(A26="","",VLOOKUP(A26,Жеребьевка!$A$6:$C$45,2,0))</f>
        <v>Ефремов Александр Николаевич</v>
      </c>
      <c r="C26" s="34">
        <v>1</v>
      </c>
      <c r="D26" s="34">
        <v>0</v>
      </c>
      <c r="E26" s="14">
        <f t="shared" si="12"/>
        <v>1</v>
      </c>
      <c r="F26" s="28">
        <v>39</v>
      </c>
      <c r="G26" s="57"/>
      <c r="H26" s="14">
        <f t="shared" si="13"/>
        <v>0</v>
      </c>
      <c r="I26" s="14">
        <f t="shared" si="14"/>
        <v>0</v>
      </c>
      <c r="J26" s="14">
        <f t="shared" si="15"/>
        <v>1</v>
      </c>
      <c r="K26" s="29">
        <f t="shared" si="16"/>
        <v>0</v>
      </c>
      <c r="L26" s="14">
        <f t="shared" si="0"/>
        <v>0</v>
      </c>
      <c r="M26" s="34">
        <v>4</v>
      </c>
      <c r="N26" s="57"/>
      <c r="O26" s="14">
        <f t="shared" si="17"/>
        <v>8</v>
      </c>
      <c r="P26" s="28">
        <v>6.4</v>
      </c>
      <c r="Q26" s="57"/>
      <c r="R26" s="14">
        <f t="shared" si="18"/>
        <v>0</v>
      </c>
      <c r="S26" s="14">
        <f t="shared" si="19"/>
        <v>0</v>
      </c>
      <c r="T26" s="14">
        <f t="shared" si="20"/>
        <v>0</v>
      </c>
      <c r="U26" s="29">
        <f t="shared" si="21"/>
        <v>-0.26</v>
      </c>
      <c r="V26" s="14">
        <f t="shared" si="1"/>
        <v>7.74</v>
      </c>
      <c r="W26" s="28">
        <v>5.3</v>
      </c>
      <c r="X26" s="57"/>
      <c r="Y26" s="14">
        <f t="shared" si="22"/>
        <v>0</v>
      </c>
      <c r="Z26" s="14">
        <f t="shared" si="23"/>
        <v>0</v>
      </c>
      <c r="AA26" s="14">
        <f t="shared" si="24"/>
        <v>0</v>
      </c>
      <c r="AB26" s="29">
        <f t="shared" si="25"/>
        <v>-0.05</v>
      </c>
      <c r="AC26" s="14">
        <f t="shared" si="2"/>
        <v>7.95</v>
      </c>
      <c r="AD26" s="28">
        <v>14.4</v>
      </c>
      <c r="AE26" s="57"/>
      <c r="AF26" s="14">
        <f t="shared" si="26"/>
        <v>0</v>
      </c>
      <c r="AG26" s="14">
        <f t="shared" si="27"/>
        <v>0</v>
      </c>
      <c r="AH26" s="14">
        <f t="shared" si="28"/>
        <v>1</v>
      </c>
      <c r="AI26" s="29">
        <f t="shared" si="29"/>
        <v>0</v>
      </c>
      <c r="AJ26" s="14">
        <f t="shared" si="3"/>
        <v>0</v>
      </c>
      <c r="AK26" s="34">
        <v>2</v>
      </c>
      <c r="AL26" s="34">
        <v>2</v>
      </c>
      <c r="AM26" s="34">
        <v>2</v>
      </c>
      <c r="AN26" s="34">
        <v>0</v>
      </c>
      <c r="AO26" s="57"/>
      <c r="AP26" s="14">
        <f t="shared" si="30"/>
        <v>6</v>
      </c>
      <c r="AQ26" s="34">
        <v>42</v>
      </c>
      <c r="AR26" s="50"/>
      <c r="AS26" s="49">
        <f t="shared" si="31"/>
        <v>15</v>
      </c>
      <c r="AT26" s="34">
        <v>2</v>
      </c>
      <c r="AU26" s="34">
        <v>2</v>
      </c>
      <c r="AV26" s="34">
        <v>2</v>
      </c>
      <c r="AW26" s="57"/>
      <c r="AX26" s="14">
        <f t="shared" si="32"/>
        <v>8</v>
      </c>
      <c r="AY26" s="57"/>
      <c r="AZ26" s="57"/>
      <c r="BA26" s="57"/>
      <c r="BB26" s="57"/>
      <c r="BC26" s="29">
        <f t="shared" si="33"/>
        <v>0</v>
      </c>
      <c r="BD26" s="57"/>
      <c r="BE26" s="15">
        <v>0.1638888888888889</v>
      </c>
      <c r="BF26" s="49">
        <f t="shared" si="34"/>
        <v>53.69</v>
      </c>
      <c r="BG26" s="34">
        <v>0</v>
      </c>
      <c r="BH26" s="39">
        <f t="shared" si="35"/>
        <v>53.69</v>
      </c>
      <c r="BI26" s="64"/>
      <c r="BM26" s="14">
        <f t="shared" si="4"/>
        <v>3</v>
      </c>
      <c r="BN26" s="14">
        <f t="shared" si="36"/>
        <v>3</v>
      </c>
      <c r="BO26" s="14">
        <f t="shared" si="37"/>
        <v>0</v>
      </c>
      <c r="BP26" s="14">
        <f t="shared" si="5"/>
        <v>0</v>
      </c>
      <c r="BR26" s="14">
        <f t="shared" si="6"/>
        <v>2.5999999999999996</v>
      </c>
      <c r="BS26" s="14">
        <f t="shared" si="38"/>
        <v>2</v>
      </c>
      <c r="BT26" s="14">
        <f t="shared" si="39"/>
        <v>0.5999999999999996</v>
      </c>
      <c r="BU26" s="14">
        <f t="shared" si="7"/>
        <v>1</v>
      </c>
      <c r="BW26" s="14">
        <f t="shared" si="8"/>
        <v>0.5</v>
      </c>
      <c r="BX26" s="14">
        <f t="shared" si="40"/>
        <v>0</v>
      </c>
      <c r="BY26" s="14">
        <f t="shared" si="41"/>
        <v>0.5</v>
      </c>
      <c r="BZ26" s="14">
        <f t="shared" si="9"/>
        <v>1</v>
      </c>
      <c r="CB26" s="14">
        <f t="shared" si="10"/>
        <v>3.5999999999999996</v>
      </c>
      <c r="CC26" s="14">
        <f t="shared" si="42"/>
        <v>3</v>
      </c>
      <c r="CD26" s="14">
        <f t="shared" si="43"/>
        <v>0.5999999999999996</v>
      </c>
      <c r="CE26" s="14">
        <f t="shared" si="11"/>
        <v>0</v>
      </c>
    </row>
    <row r="27" spans="1:83" ht="12.75">
      <c r="A27" s="34">
        <v>18</v>
      </c>
      <c r="B27" s="54" t="str">
        <f>IF(A27="","",VLOOKUP(A27,Жеребьевка!$A$6:$C$45,2,0))</f>
        <v>Володина Анастасия Александровна</v>
      </c>
      <c r="C27" s="34">
        <v>1</v>
      </c>
      <c r="D27" s="34">
        <v>0</v>
      </c>
      <c r="E27" s="14">
        <f t="shared" si="12"/>
        <v>1</v>
      </c>
      <c r="F27" s="28">
        <v>32.5</v>
      </c>
      <c r="G27" s="57"/>
      <c r="H27" s="14">
        <f t="shared" si="13"/>
        <v>0</v>
      </c>
      <c r="I27" s="14">
        <f t="shared" si="14"/>
        <v>1</v>
      </c>
      <c r="J27" s="14">
        <f t="shared" si="15"/>
        <v>0</v>
      </c>
      <c r="K27" s="29">
        <f t="shared" si="16"/>
        <v>0</v>
      </c>
      <c r="L27" s="14">
        <f t="shared" si="0"/>
        <v>0</v>
      </c>
      <c r="M27" s="34">
        <v>4</v>
      </c>
      <c r="N27" s="57"/>
      <c r="O27" s="14">
        <f t="shared" si="17"/>
        <v>8</v>
      </c>
      <c r="P27" s="28">
        <v>5.9</v>
      </c>
      <c r="Q27" s="57"/>
      <c r="R27" s="14">
        <f t="shared" si="18"/>
        <v>0</v>
      </c>
      <c r="S27" s="14">
        <f t="shared" si="19"/>
        <v>1</v>
      </c>
      <c r="T27" s="14">
        <f t="shared" si="20"/>
        <v>0</v>
      </c>
      <c r="U27" s="29">
        <f t="shared" si="21"/>
        <v>0</v>
      </c>
      <c r="V27" s="14">
        <f t="shared" si="1"/>
        <v>0</v>
      </c>
      <c r="W27" s="28">
        <v>4</v>
      </c>
      <c r="X27" s="57"/>
      <c r="Y27" s="14">
        <f t="shared" si="22"/>
        <v>0</v>
      </c>
      <c r="Z27" s="14">
        <f t="shared" si="23"/>
        <v>0</v>
      </c>
      <c r="AA27" s="14">
        <f t="shared" si="24"/>
        <v>0</v>
      </c>
      <c r="AB27" s="29">
        <f t="shared" si="25"/>
        <v>-0.07999999999999999</v>
      </c>
      <c r="AC27" s="14">
        <f t="shared" si="2"/>
        <v>7.92</v>
      </c>
      <c r="AD27" s="28">
        <v>9.7</v>
      </c>
      <c r="AE27" s="57"/>
      <c r="AF27" s="14">
        <f t="shared" si="26"/>
        <v>0</v>
      </c>
      <c r="AG27" s="14">
        <f t="shared" si="27"/>
        <v>0</v>
      </c>
      <c r="AH27" s="14">
        <f t="shared" si="28"/>
        <v>0</v>
      </c>
      <c r="AI27" s="29">
        <f t="shared" si="29"/>
        <v>-0.11000000000000015</v>
      </c>
      <c r="AJ27" s="14">
        <f t="shared" si="3"/>
        <v>7.89</v>
      </c>
      <c r="AK27" s="34">
        <v>3</v>
      </c>
      <c r="AL27" s="34">
        <v>2</v>
      </c>
      <c r="AM27" s="34">
        <v>2</v>
      </c>
      <c r="AN27" s="34">
        <v>2</v>
      </c>
      <c r="AO27" s="57"/>
      <c r="AP27" s="14">
        <f t="shared" si="30"/>
        <v>9</v>
      </c>
      <c r="AQ27" s="34">
        <v>45</v>
      </c>
      <c r="AR27" s="50">
        <v>1</v>
      </c>
      <c r="AS27" s="49">
        <f t="shared" si="31"/>
        <v>0</v>
      </c>
      <c r="AT27" s="34">
        <v>1</v>
      </c>
      <c r="AU27" s="34">
        <v>0</v>
      </c>
      <c r="AV27" s="34">
        <v>2</v>
      </c>
      <c r="AW27" s="57"/>
      <c r="AX27" s="14">
        <f t="shared" si="32"/>
        <v>4</v>
      </c>
      <c r="AY27" s="57"/>
      <c r="AZ27" s="57"/>
      <c r="BA27" s="57"/>
      <c r="BB27" s="57"/>
      <c r="BC27" s="29">
        <f t="shared" si="33"/>
        <v>0</v>
      </c>
      <c r="BD27" s="57"/>
      <c r="BE27" s="15">
        <v>0.2125</v>
      </c>
      <c r="BF27" s="49">
        <f t="shared" si="34"/>
        <v>37.81</v>
      </c>
      <c r="BG27" s="34">
        <v>0</v>
      </c>
      <c r="BH27" s="39">
        <f t="shared" si="35"/>
        <v>37.81</v>
      </c>
      <c r="BI27" s="64"/>
      <c r="BM27" s="14">
        <f t="shared" si="4"/>
        <v>3.5</v>
      </c>
      <c r="BN27" s="14">
        <f t="shared" si="36"/>
        <v>3</v>
      </c>
      <c r="BO27" s="14">
        <f t="shared" si="37"/>
        <v>0.5</v>
      </c>
      <c r="BP27" s="14">
        <f t="shared" si="5"/>
        <v>0</v>
      </c>
      <c r="BR27" s="14">
        <f t="shared" si="6"/>
        <v>3.0999999999999996</v>
      </c>
      <c r="BS27" s="14">
        <f t="shared" si="38"/>
        <v>3</v>
      </c>
      <c r="BT27" s="14">
        <f t="shared" si="39"/>
        <v>0.09999999999999964</v>
      </c>
      <c r="BU27" s="14">
        <f t="shared" si="7"/>
        <v>0</v>
      </c>
      <c r="BW27" s="14">
        <f t="shared" si="8"/>
        <v>0.7999999999999998</v>
      </c>
      <c r="BX27" s="14">
        <f t="shared" si="40"/>
        <v>0</v>
      </c>
      <c r="BY27" s="14">
        <f t="shared" si="41"/>
        <v>0.7999999999999998</v>
      </c>
      <c r="BZ27" s="14">
        <f t="shared" si="9"/>
        <v>1</v>
      </c>
      <c r="CB27" s="14">
        <f t="shared" si="10"/>
        <v>1.1000000000000014</v>
      </c>
      <c r="CC27" s="14">
        <f t="shared" si="42"/>
        <v>1</v>
      </c>
      <c r="CD27" s="14">
        <f t="shared" si="43"/>
        <v>0.10000000000000142</v>
      </c>
      <c r="CE27" s="14">
        <f t="shared" si="11"/>
        <v>1</v>
      </c>
    </row>
    <row r="28" spans="1:83" ht="12.75">
      <c r="A28" s="34">
        <v>19</v>
      </c>
      <c r="B28" s="54" t="str">
        <f>IF(A28="","",VLOOKUP(A28,Жеребьевка!$A$6:$C$45,2,0))</f>
        <v>Черных Максим Юрьевич</v>
      </c>
      <c r="C28" s="34">
        <v>1</v>
      </c>
      <c r="D28" s="34">
        <v>0</v>
      </c>
      <c r="E28" s="14">
        <f t="shared" si="12"/>
        <v>1</v>
      </c>
      <c r="F28" s="28">
        <v>30.9</v>
      </c>
      <c r="G28" s="57"/>
      <c r="H28" s="14">
        <f t="shared" si="13"/>
        <v>0</v>
      </c>
      <c r="I28" s="14">
        <f t="shared" si="14"/>
        <v>1</v>
      </c>
      <c r="J28" s="14">
        <f t="shared" si="15"/>
        <v>0</v>
      </c>
      <c r="K28" s="29">
        <f t="shared" si="16"/>
        <v>0</v>
      </c>
      <c r="L28" s="14">
        <f t="shared" si="0"/>
        <v>0</v>
      </c>
      <c r="M28" s="34">
        <v>3</v>
      </c>
      <c r="N28" s="57"/>
      <c r="O28" s="14">
        <f t="shared" si="17"/>
        <v>6</v>
      </c>
      <c r="P28" s="28">
        <v>9.1</v>
      </c>
      <c r="Q28" s="57"/>
      <c r="R28" s="14">
        <f t="shared" si="18"/>
        <v>0</v>
      </c>
      <c r="S28" s="14">
        <f t="shared" si="19"/>
        <v>0</v>
      </c>
      <c r="T28" s="14">
        <f t="shared" si="20"/>
        <v>0</v>
      </c>
      <c r="U28" s="29">
        <f t="shared" si="21"/>
        <v>-0.009999999999999966</v>
      </c>
      <c r="V28" s="14">
        <f t="shared" si="1"/>
        <v>7.99</v>
      </c>
      <c r="W28" s="28">
        <v>5</v>
      </c>
      <c r="X28" s="57"/>
      <c r="Y28" s="14">
        <f t="shared" si="22"/>
        <v>0</v>
      </c>
      <c r="Z28" s="14">
        <f t="shared" si="23"/>
        <v>0</v>
      </c>
      <c r="AA28" s="14">
        <f t="shared" si="24"/>
        <v>0</v>
      </c>
      <c r="AB28" s="29">
        <f t="shared" si="25"/>
        <v>-0.020000000000000018</v>
      </c>
      <c r="AC28" s="14">
        <f t="shared" si="2"/>
        <v>7.98</v>
      </c>
      <c r="AD28" s="28">
        <v>11.8</v>
      </c>
      <c r="AE28" s="57"/>
      <c r="AF28" s="14">
        <f t="shared" si="26"/>
        <v>0</v>
      </c>
      <c r="AG28" s="14">
        <f t="shared" si="27"/>
        <v>0</v>
      </c>
      <c r="AH28" s="14">
        <f t="shared" si="28"/>
        <v>0</v>
      </c>
      <c r="AI28" s="29">
        <f t="shared" si="29"/>
        <v>-0.1</v>
      </c>
      <c r="AJ28" s="14">
        <f t="shared" si="3"/>
        <v>7.9</v>
      </c>
      <c r="AK28" s="34">
        <v>1</v>
      </c>
      <c r="AL28" s="34">
        <v>2</v>
      </c>
      <c r="AM28" s="34">
        <v>2</v>
      </c>
      <c r="AN28" s="34">
        <v>0</v>
      </c>
      <c r="AO28" s="57"/>
      <c r="AP28" s="14">
        <f t="shared" si="30"/>
        <v>5</v>
      </c>
      <c r="AQ28" s="34">
        <v>43</v>
      </c>
      <c r="AR28" s="50"/>
      <c r="AS28" s="49">
        <f t="shared" si="31"/>
        <v>15</v>
      </c>
      <c r="AT28" s="34">
        <v>1</v>
      </c>
      <c r="AU28" s="34">
        <v>2</v>
      </c>
      <c r="AV28" s="34">
        <v>0</v>
      </c>
      <c r="AW28" s="57"/>
      <c r="AX28" s="14">
        <f t="shared" si="32"/>
        <v>4</v>
      </c>
      <c r="AY28" s="57"/>
      <c r="AZ28" s="57"/>
      <c r="BA28" s="57"/>
      <c r="BB28" s="57"/>
      <c r="BC28" s="29">
        <f t="shared" si="33"/>
        <v>0</v>
      </c>
      <c r="BD28" s="57"/>
      <c r="BE28" s="15">
        <v>0.23124999999999998</v>
      </c>
      <c r="BF28" s="49">
        <f t="shared" si="34"/>
        <v>54.87</v>
      </c>
      <c r="BG28" s="34">
        <v>0</v>
      </c>
      <c r="BH28" s="39">
        <f t="shared" si="35"/>
        <v>54.87</v>
      </c>
      <c r="BI28" s="64"/>
      <c r="BM28" s="14">
        <f t="shared" si="4"/>
        <v>5.100000000000001</v>
      </c>
      <c r="BN28" s="14">
        <f t="shared" si="36"/>
        <v>5</v>
      </c>
      <c r="BO28" s="14">
        <f t="shared" si="37"/>
        <v>0.10000000000000142</v>
      </c>
      <c r="BP28" s="14">
        <f t="shared" si="5"/>
        <v>0</v>
      </c>
      <c r="BR28" s="14">
        <f t="shared" si="6"/>
        <v>0.09999999999999964</v>
      </c>
      <c r="BS28" s="14">
        <f t="shared" si="38"/>
        <v>0</v>
      </c>
      <c r="BT28" s="14">
        <f t="shared" si="39"/>
        <v>0.09999999999999964</v>
      </c>
      <c r="BU28" s="14">
        <f t="shared" si="7"/>
        <v>1</v>
      </c>
      <c r="BW28" s="14">
        <f t="shared" si="8"/>
        <v>0.20000000000000018</v>
      </c>
      <c r="BX28" s="14">
        <f t="shared" si="40"/>
        <v>0</v>
      </c>
      <c r="BY28" s="14">
        <f t="shared" si="41"/>
        <v>0.20000000000000018</v>
      </c>
      <c r="BZ28" s="14">
        <f t="shared" si="9"/>
        <v>1</v>
      </c>
      <c r="CB28" s="14">
        <f t="shared" si="10"/>
        <v>1</v>
      </c>
      <c r="CC28" s="14">
        <f t="shared" si="42"/>
        <v>1</v>
      </c>
      <c r="CD28" s="14">
        <f t="shared" si="43"/>
        <v>0</v>
      </c>
      <c r="CE28" s="14">
        <f t="shared" si="11"/>
        <v>1</v>
      </c>
    </row>
    <row r="29" spans="1:83" ht="12.75">
      <c r="A29" s="34">
        <v>20</v>
      </c>
      <c r="B29" s="54" t="str">
        <f>IF(A29="","",VLOOKUP(A29,Жеребьевка!$A$6:$C$45,2,0))</f>
        <v>Королев Дмитрий Сергеевич</v>
      </c>
      <c r="C29" s="34">
        <v>1</v>
      </c>
      <c r="D29" s="34">
        <v>1</v>
      </c>
      <c r="E29" s="14">
        <f t="shared" si="12"/>
        <v>3</v>
      </c>
      <c r="F29" s="28">
        <v>35.1</v>
      </c>
      <c r="G29" s="57"/>
      <c r="H29" s="14">
        <f t="shared" si="13"/>
        <v>0</v>
      </c>
      <c r="I29" s="14">
        <f t="shared" si="14"/>
        <v>0</v>
      </c>
      <c r="J29" s="14">
        <f t="shared" si="15"/>
        <v>0</v>
      </c>
      <c r="K29" s="29">
        <f t="shared" si="16"/>
        <v>-0.08999999999999986</v>
      </c>
      <c r="L29" s="14">
        <f t="shared" si="0"/>
        <v>7.91</v>
      </c>
      <c r="M29" s="34">
        <v>5</v>
      </c>
      <c r="N29" s="57"/>
      <c r="O29" s="14">
        <f t="shared" si="17"/>
        <v>10</v>
      </c>
      <c r="P29" s="28">
        <v>8</v>
      </c>
      <c r="Q29" s="57"/>
      <c r="R29" s="14">
        <f t="shared" si="18"/>
        <v>0</v>
      </c>
      <c r="S29" s="14">
        <f t="shared" si="19"/>
        <v>0</v>
      </c>
      <c r="T29" s="14">
        <f t="shared" si="20"/>
        <v>0</v>
      </c>
      <c r="U29" s="29">
        <f t="shared" si="21"/>
        <v>-0.1</v>
      </c>
      <c r="V29" s="14">
        <f t="shared" si="1"/>
        <v>7.9</v>
      </c>
      <c r="W29" s="28">
        <v>4.6</v>
      </c>
      <c r="X29" s="57"/>
      <c r="Y29" s="14">
        <f t="shared" si="22"/>
        <v>0</v>
      </c>
      <c r="Z29" s="14">
        <f t="shared" si="23"/>
        <v>0</v>
      </c>
      <c r="AA29" s="14">
        <f t="shared" si="24"/>
        <v>0</v>
      </c>
      <c r="AB29" s="29">
        <f t="shared" si="25"/>
        <v>-0.020000000000000018</v>
      </c>
      <c r="AC29" s="14">
        <f t="shared" si="2"/>
        <v>7.98</v>
      </c>
      <c r="AD29" s="28">
        <v>10.7</v>
      </c>
      <c r="AE29" s="57"/>
      <c r="AF29" s="14">
        <f t="shared" si="26"/>
        <v>0</v>
      </c>
      <c r="AG29" s="14">
        <f t="shared" si="27"/>
        <v>0</v>
      </c>
      <c r="AH29" s="14">
        <f t="shared" si="28"/>
        <v>0</v>
      </c>
      <c r="AI29" s="29">
        <f t="shared" si="29"/>
        <v>-0.010000000000000142</v>
      </c>
      <c r="AJ29" s="14">
        <f t="shared" si="3"/>
        <v>7.99</v>
      </c>
      <c r="AK29" s="34">
        <v>3</v>
      </c>
      <c r="AL29" s="34">
        <v>2</v>
      </c>
      <c r="AM29" s="34">
        <v>2</v>
      </c>
      <c r="AN29" s="34">
        <v>2</v>
      </c>
      <c r="AO29" s="57"/>
      <c r="AP29" s="14">
        <f t="shared" si="30"/>
        <v>9</v>
      </c>
      <c r="AQ29" s="34">
        <v>40</v>
      </c>
      <c r="AR29" s="50">
        <v>1</v>
      </c>
      <c r="AS29" s="49">
        <f t="shared" si="31"/>
        <v>0</v>
      </c>
      <c r="AT29" s="34">
        <v>3</v>
      </c>
      <c r="AU29" s="34">
        <v>2</v>
      </c>
      <c r="AV29" s="34">
        <v>2</v>
      </c>
      <c r="AW29" s="57">
        <v>1</v>
      </c>
      <c r="AX29" s="14">
        <f t="shared" si="32"/>
        <v>0</v>
      </c>
      <c r="AY29" s="57"/>
      <c r="AZ29" s="57"/>
      <c r="BA29" s="57"/>
      <c r="BB29" s="57"/>
      <c r="BC29" s="29">
        <f t="shared" si="33"/>
        <v>0</v>
      </c>
      <c r="BD29" s="57"/>
      <c r="BE29" s="15">
        <v>0.1451388888888889</v>
      </c>
      <c r="BF29" s="49">
        <f t="shared" si="34"/>
        <v>53.78000000000001</v>
      </c>
      <c r="BG29" s="34">
        <v>0</v>
      </c>
      <c r="BH29" s="39">
        <f t="shared" si="35"/>
        <v>53.78000000000001</v>
      </c>
      <c r="BI29" s="64"/>
      <c r="BM29" s="14">
        <f t="shared" si="4"/>
        <v>0.8999999999999986</v>
      </c>
      <c r="BN29" s="14">
        <f t="shared" si="36"/>
        <v>0</v>
      </c>
      <c r="BO29" s="14">
        <f t="shared" si="37"/>
        <v>0.8999999999999986</v>
      </c>
      <c r="BP29" s="14">
        <f t="shared" si="5"/>
        <v>1</v>
      </c>
      <c r="BR29" s="14">
        <f t="shared" si="6"/>
        <v>1</v>
      </c>
      <c r="BS29" s="14">
        <f t="shared" si="38"/>
        <v>1</v>
      </c>
      <c r="BT29" s="14">
        <f t="shared" si="39"/>
        <v>0</v>
      </c>
      <c r="BU29" s="14">
        <f t="shared" si="7"/>
        <v>1</v>
      </c>
      <c r="BW29" s="14">
        <f t="shared" si="8"/>
        <v>0.20000000000000018</v>
      </c>
      <c r="BX29" s="14">
        <f t="shared" si="40"/>
        <v>0</v>
      </c>
      <c r="BY29" s="14">
        <f t="shared" si="41"/>
        <v>0.20000000000000018</v>
      </c>
      <c r="BZ29" s="14">
        <f t="shared" si="9"/>
        <v>1</v>
      </c>
      <c r="CB29" s="14">
        <f t="shared" si="10"/>
        <v>0.10000000000000142</v>
      </c>
      <c r="CC29" s="14">
        <f t="shared" si="42"/>
        <v>0</v>
      </c>
      <c r="CD29" s="14">
        <f t="shared" si="43"/>
        <v>0.10000000000000142</v>
      </c>
      <c r="CE29" s="14">
        <f t="shared" si="11"/>
        <v>1</v>
      </c>
    </row>
    <row r="30" spans="1:83" ht="12.75">
      <c r="A30" s="34">
        <v>21</v>
      </c>
      <c r="B30" s="54" t="str">
        <f>IF(A30="","",VLOOKUP(A30,Жеребьевка!$A$6:$C$45,2,0))</f>
        <v>Сазеев Илья Михайлович</v>
      </c>
      <c r="C30" s="34">
        <v>0</v>
      </c>
      <c r="D30" s="34">
        <v>1</v>
      </c>
      <c r="E30" s="14">
        <f t="shared" si="12"/>
        <v>2</v>
      </c>
      <c r="F30" s="28">
        <v>37.5</v>
      </c>
      <c r="G30" s="57"/>
      <c r="H30" s="14">
        <f t="shared" si="13"/>
        <v>0</v>
      </c>
      <c r="I30" s="14">
        <f t="shared" si="14"/>
        <v>0</v>
      </c>
      <c r="J30" s="14">
        <f t="shared" si="15"/>
        <v>0</v>
      </c>
      <c r="K30" s="29">
        <f t="shared" si="16"/>
        <v>-0.15000000000000002</v>
      </c>
      <c r="L30" s="14">
        <f t="shared" si="0"/>
        <v>7.85</v>
      </c>
      <c r="M30" s="34">
        <v>5</v>
      </c>
      <c r="N30" s="57"/>
      <c r="O30" s="14">
        <f t="shared" si="17"/>
        <v>10</v>
      </c>
      <c r="P30" s="28">
        <v>7.9</v>
      </c>
      <c r="Q30" s="57"/>
      <c r="R30" s="14">
        <f t="shared" si="18"/>
        <v>0</v>
      </c>
      <c r="S30" s="14">
        <f t="shared" si="19"/>
        <v>0</v>
      </c>
      <c r="T30" s="14">
        <f t="shared" si="20"/>
        <v>0</v>
      </c>
      <c r="U30" s="29">
        <f t="shared" si="21"/>
        <v>-0.10999999999999997</v>
      </c>
      <c r="V30" s="14">
        <f t="shared" si="1"/>
        <v>7.89</v>
      </c>
      <c r="W30" s="28">
        <v>4.4</v>
      </c>
      <c r="X30" s="57"/>
      <c r="Y30" s="14">
        <f t="shared" si="22"/>
        <v>0</v>
      </c>
      <c r="Z30" s="14">
        <f t="shared" si="23"/>
        <v>0</v>
      </c>
      <c r="AA30" s="14">
        <f t="shared" si="24"/>
        <v>0</v>
      </c>
      <c r="AB30" s="29">
        <f t="shared" si="25"/>
        <v>-0.03999999999999995</v>
      </c>
      <c r="AC30" s="14">
        <f t="shared" si="2"/>
        <v>7.96</v>
      </c>
      <c r="AD30" s="28">
        <v>10.5</v>
      </c>
      <c r="AE30" s="57"/>
      <c r="AF30" s="14">
        <f t="shared" si="26"/>
        <v>0</v>
      </c>
      <c r="AG30" s="14">
        <f t="shared" si="27"/>
        <v>0</v>
      </c>
      <c r="AH30" s="14">
        <f t="shared" si="28"/>
        <v>0</v>
      </c>
      <c r="AI30" s="29">
        <f t="shared" si="29"/>
        <v>-0.030000000000000072</v>
      </c>
      <c r="AJ30" s="14">
        <f t="shared" si="3"/>
        <v>7.97</v>
      </c>
      <c r="AK30" s="34">
        <v>2</v>
      </c>
      <c r="AL30" s="34">
        <v>2</v>
      </c>
      <c r="AM30" s="34">
        <v>2</v>
      </c>
      <c r="AN30" s="34">
        <v>2</v>
      </c>
      <c r="AO30" s="57"/>
      <c r="AP30" s="14">
        <f t="shared" si="30"/>
        <v>8</v>
      </c>
      <c r="AQ30" s="34">
        <v>38</v>
      </c>
      <c r="AR30" s="50"/>
      <c r="AS30" s="49">
        <f t="shared" si="31"/>
        <v>12</v>
      </c>
      <c r="AT30" s="34">
        <v>1</v>
      </c>
      <c r="AU30" s="34">
        <v>2</v>
      </c>
      <c r="AV30" s="34">
        <v>0</v>
      </c>
      <c r="AW30" s="57"/>
      <c r="AX30" s="14">
        <f t="shared" si="32"/>
        <v>4</v>
      </c>
      <c r="AY30" s="57"/>
      <c r="AZ30" s="57"/>
      <c r="BA30" s="57"/>
      <c r="BB30" s="57"/>
      <c r="BC30" s="29">
        <f t="shared" si="33"/>
        <v>0</v>
      </c>
      <c r="BD30" s="57"/>
      <c r="BE30" s="15">
        <v>0.18055555555555555</v>
      </c>
      <c r="BF30" s="49">
        <f t="shared" si="34"/>
        <v>67.67</v>
      </c>
      <c r="BG30" s="34">
        <v>0</v>
      </c>
      <c r="BH30" s="39">
        <f t="shared" si="35"/>
        <v>67.67</v>
      </c>
      <c r="BI30" s="64"/>
      <c r="BM30" s="14">
        <f t="shared" si="4"/>
        <v>1.5</v>
      </c>
      <c r="BN30" s="14">
        <f t="shared" si="36"/>
        <v>1</v>
      </c>
      <c r="BO30" s="14">
        <f t="shared" si="37"/>
        <v>0.5</v>
      </c>
      <c r="BP30" s="14">
        <f t="shared" si="5"/>
        <v>1</v>
      </c>
      <c r="BR30" s="14">
        <f t="shared" si="6"/>
        <v>1.0999999999999996</v>
      </c>
      <c r="BS30" s="14">
        <f t="shared" si="38"/>
        <v>1</v>
      </c>
      <c r="BT30" s="14">
        <f t="shared" si="39"/>
        <v>0.09999999999999964</v>
      </c>
      <c r="BU30" s="14">
        <f t="shared" si="7"/>
        <v>1</v>
      </c>
      <c r="BW30" s="14">
        <f t="shared" si="8"/>
        <v>0.39999999999999947</v>
      </c>
      <c r="BX30" s="14">
        <f t="shared" si="40"/>
        <v>0</v>
      </c>
      <c r="BY30" s="14">
        <f t="shared" si="41"/>
        <v>0.39999999999999947</v>
      </c>
      <c r="BZ30" s="14">
        <f t="shared" si="9"/>
        <v>1</v>
      </c>
      <c r="CB30" s="14">
        <f t="shared" si="10"/>
        <v>0.3000000000000007</v>
      </c>
      <c r="CC30" s="14">
        <f t="shared" si="42"/>
        <v>0</v>
      </c>
      <c r="CD30" s="14">
        <f t="shared" si="43"/>
        <v>0.3000000000000007</v>
      </c>
      <c r="CE30" s="14">
        <f t="shared" si="11"/>
        <v>1</v>
      </c>
    </row>
    <row r="31" spans="1:83" ht="12.75">
      <c r="A31" s="34">
        <v>22</v>
      </c>
      <c r="B31" s="54" t="str">
        <f>IF(A31="","",VLOOKUP(A31,Жеребьевка!$A$6:$C$45,2,0))</f>
        <v>Кузюк Валентина Павловна</v>
      </c>
      <c r="C31" s="34">
        <v>1</v>
      </c>
      <c r="D31" s="34">
        <v>0</v>
      </c>
      <c r="E31" s="14">
        <f t="shared" si="12"/>
        <v>1</v>
      </c>
      <c r="F31" s="28">
        <v>35.7</v>
      </c>
      <c r="G31" s="57"/>
      <c r="H31" s="14">
        <f t="shared" si="13"/>
        <v>0</v>
      </c>
      <c r="I31" s="14">
        <f t="shared" si="14"/>
        <v>0</v>
      </c>
      <c r="J31" s="14">
        <f t="shared" si="15"/>
        <v>0</v>
      </c>
      <c r="K31" s="29">
        <f t="shared" si="16"/>
        <v>-0.029999999999999718</v>
      </c>
      <c r="L31" s="14">
        <f t="shared" si="0"/>
        <v>7.970000000000001</v>
      </c>
      <c r="M31" s="34">
        <v>4</v>
      </c>
      <c r="N31" s="57"/>
      <c r="O31" s="14">
        <f t="shared" si="17"/>
        <v>8</v>
      </c>
      <c r="P31" s="28">
        <v>8.3</v>
      </c>
      <c r="Q31" s="57"/>
      <c r="R31" s="14">
        <f t="shared" si="18"/>
        <v>0</v>
      </c>
      <c r="S31" s="14">
        <f t="shared" si="19"/>
        <v>0</v>
      </c>
      <c r="T31" s="14">
        <f t="shared" si="20"/>
        <v>0</v>
      </c>
      <c r="U31" s="29">
        <f t="shared" si="21"/>
        <v>-0.06999999999999994</v>
      </c>
      <c r="V31" s="14">
        <f t="shared" si="1"/>
        <v>7.93</v>
      </c>
      <c r="W31" s="28">
        <v>3.7</v>
      </c>
      <c r="X31" s="57"/>
      <c r="Y31" s="14">
        <f t="shared" si="22"/>
        <v>0</v>
      </c>
      <c r="Z31" s="14">
        <f t="shared" si="23"/>
        <v>0</v>
      </c>
      <c r="AA31" s="14">
        <f t="shared" si="24"/>
        <v>0</v>
      </c>
      <c r="AB31" s="29">
        <f t="shared" si="25"/>
        <v>-0.10999999999999997</v>
      </c>
      <c r="AC31" s="14">
        <f t="shared" si="2"/>
        <v>7.89</v>
      </c>
      <c r="AD31" s="28">
        <v>9.8</v>
      </c>
      <c r="AE31" s="57"/>
      <c r="AF31" s="14">
        <f t="shared" si="26"/>
        <v>0</v>
      </c>
      <c r="AG31" s="14">
        <f t="shared" si="27"/>
        <v>0</v>
      </c>
      <c r="AH31" s="14">
        <f t="shared" si="28"/>
        <v>0</v>
      </c>
      <c r="AI31" s="29">
        <f t="shared" si="29"/>
        <v>-0.1</v>
      </c>
      <c r="AJ31" s="14">
        <f t="shared" si="3"/>
        <v>7.9</v>
      </c>
      <c r="AK31" s="34">
        <v>3</v>
      </c>
      <c r="AL31" s="34">
        <v>2</v>
      </c>
      <c r="AM31" s="34">
        <v>2</v>
      </c>
      <c r="AN31" s="34">
        <v>0</v>
      </c>
      <c r="AO31" s="57"/>
      <c r="AP31" s="14">
        <f t="shared" si="30"/>
        <v>7</v>
      </c>
      <c r="AQ31" s="34">
        <v>42</v>
      </c>
      <c r="AR31" s="50">
        <v>1</v>
      </c>
      <c r="AS31" s="49">
        <f t="shared" si="31"/>
        <v>0</v>
      </c>
      <c r="AT31" s="34">
        <v>2</v>
      </c>
      <c r="AU31" s="34">
        <v>2</v>
      </c>
      <c r="AV31" s="34">
        <v>2</v>
      </c>
      <c r="AW31" s="57"/>
      <c r="AX31" s="14">
        <f t="shared" si="32"/>
        <v>8</v>
      </c>
      <c r="AY31" s="57"/>
      <c r="AZ31" s="57"/>
      <c r="BA31" s="57"/>
      <c r="BB31" s="57"/>
      <c r="BC31" s="29">
        <f t="shared" si="33"/>
        <v>0</v>
      </c>
      <c r="BD31" s="57"/>
      <c r="BE31" s="15">
        <v>0.22430555555555556</v>
      </c>
      <c r="BF31" s="49">
        <f t="shared" si="34"/>
        <v>55.69</v>
      </c>
      <c r="BG31" s="34">
        <v>0</v>
      </c>
      <c r="BH31" s="39">
        <f t="shared" si="35"/>
        <v>55.69</v>
      </c>
      <c r="BI31" s="64"/>
      <c r="BM31" s="14">
        <f t="shared" si="4"/>
        <v>0.29999999999999716</v>
      </c>
      <c r="BN31" s="14">
        <f t="shared" si="36"/>
        <v>0</v>
      </c>
      <c r="BO31" s="14">
        <f t="shared" si="37"/>
        <v>0.29999999999999716</v>
      </c>
      <c r="BP31" s="14">
        <f t="shared" si="5"/>
        <v>1</v>
      </c>
      <c r="BR31" s="14">
        <f t="shared" si="6"/>
        <v>0.6999999999999993</v>
      </c>
      <c r="BS31" s="14">
        <f t="shared" si="38"/>
        <v>0</v>
      </c>
      <c r="BT31" s="14">
        <f t="shared" si="39"/>
        <v>0.6999999999999993</v>
      </c>
      <c r="BU31" s="14">
        <f t="shared" si="7"/>
        <v>1</v>
      </c>
      <c r="BW31" s="14">
        <f t="shared" si="8"/>
        <v>1.0999999999999996</v>
      </c>
      <c r="BX31" s="14">
        <f t="shared" si="40"/>
        <v>1</v>
      </c>
      <c r="BY31" s="14">
        <f t="shared" si="41"/>
        <v>0.09999999999999964</v>
      </c>
      <c r="BZ31" s="14">
        <f t="shared" si="9"/>
        <v>1</v>
      </c>
      <c r="CB31" s="14">
        <f t="shared" si="10"/>
        <v>1</v>
      </c>
      <c r="CC31" s="14">
        <f t="shared" si="42"/>
        <v>1</v>
      </c>
      <c r="CD31" s="14">
        <f t="shared" si="43"/>
        <v>0</v>
      </c>
      <c r="CE31" s="14">
        <f t="shared" si="11"/>
        <v>1</v>
      </c>
    </row>
    <row r="32" spans="1:83" ht="12.75">
      <c r="A32" s="34">
        <v>23</v>
      </c>
      <c r="B32" s="54" t="str">
        <f>IF(A32="","",VLOOKUP(A32,Жеребьевка!$A$6:$C$45,2,0))</f>
        <v>Глуханюк Михаил Юрьевич</v>
      </c>
      <c r="C32" s="34">
        <v>1</v>
      </c>
      <c r="D32" s="34">
        <v>1</v>
      </c>
      <c r="E32" s="14">
        <f t="shared" si="12"/>
        <v>3</v>
      </c>
      <c r="F32" s="28">
        <v>42.9</v>
      </c>
      <c r="G32" s="57"/>
      <c r="H32" s="14">
        <f t="shared" si="13"/>
        <v>0</v>
      </c>
      <c r="I32" s="14">
        <f t="shared" si="14"/>
        <v>0</v>
      </c>
      <c r="J32" s="14">
        <f t="shared" si="15"/>
        <v>1</v>
      </c>
      <c r="K32" s="29">
        <f t="shared" si="16"/>
        <v>0</v>
      </c>
      <c r="L32" s="14">
        <f t="shared" si="0"/>
        <v>0</v>
      </c>
      <c r="M32" s="34">
        <v>5</v>
      </c>
      <c r="N32" s="57">
        <v>1</v>
      </c>
      <c r="O32" s="14">
        <f t="shared" si="17"/>
        <v>0</v>
      </c>
      <c r="P32" s="28">
        <v>8.4</v>
      </c>
      <c r="Q32" s="57"/>
      <c r="R32" s="14">
        <f t="shared" si="18"/>
        <v>0</v>
      </c>
      <c r="S32" s="14">
        <f t="shared" si="19"/>
        <v>0</v>
      </c>
      <c r="T32" s="14">
        <f t="shared" si="20"/>
        <v>0</v>
      </c>
      <c r="U32" s="29">
        <f t="shared" si="21"/>
        <v>-0.05999999999999997</v>
      </c>
      <c r="V32" s="14">
        <f t="shared" si="1"/>
        <v>7.94</v>
      </c>
      <c r="W32" s="28">
        <v>4.5</v>
      </c>
      <c r="X32" s="57"/>
      <c r="Y32" s="14">
        <f t="shared" si="22"/>
        <v>0</v>
      </c>
      <c r="Z32" s="14">
        <f t="shared" si="23"/>
        <v>0</v>
      </c>
      <c r="AA32" s="14">
        <f t="shared" si="24"/>
        <v>0</v>
      </c>
      <c r="AB32" s="29">
        <f t="shared" si="25"/>
        <v>-0.029999999999999985</v>
      </c>
      <c r="AC32" s="14">
        <f t="shared" si="2"/>
        <v>7.97</v>
      </c>
      <c r="AD32" s="28">
        <v>13.9</v>
      </c>
      <c r="AE32" s="57"/>
      <c r="AF32" s="14">
        <f t="shared" si="26"/>
        <v>0</v>
      </c>
      <c r="AG32" s="14">
        <f t="shared" si="27"/>
        <v>0</v>
      </c>
      <c r="AH32" s="14">
        <f t="shared" si="28"/>
        <v>1</v>
      </c>
      <c r="AI32" s="29">
        <f t="shared" si="29"/>
        <v>0</v>
      </c>
      <c r="AJ32" s="14">
        <f t="shared" si="3"/>
        <v>0</v>
      </c>
      <c r="AK32" s="34">
        <v>2</v>
      </c>
      <c r="AL32" s="34">
        <v>2</v>
      </c>
      <c r="AM32" s="34">
        <v>2</v>
      </c>
      <c r="AN32" s="34">
        <v>2</v>
      </c>
      <c r="AO32" s="57"/>
      <c r="AP32" s="14">
        <f t="shared" si="30"/>
        <v>8</v>
      </c>
      <c r="AQ32" s="34">
        <v>29</v>
      </c>
      <c r="AR32" s="50"/>
      <c r="AS32" s="49">
        <f t="shared" si="31"/>
        <v>0</v>
      </c>
      <c r="AT32" s="34">
        <v>3</v>
      </c>
      <c r="AU32" s="34">
        <v>2</v>
      </c>
      <c r="AV32" s="34">
        <v>2</v>
      </c>
      <c r="AW32" s="57"/>
      <c r="AX32" s="14">
        <f t="shared" si="32"/>
        <v>10</v>
      </c>
      <c r="AY32" s="57"/>
      <c r="AZ32" s="57"/>
      <c r="BA32" s="57"/>
      <c r="BB32" s="57"/>
      <c r="BC32" s="29">
        <f t="shared" si="33"/>
        <v>0</v>
      </c>
      <c r="BD32" s="57"/>
      <c r="BE32" s="15">
        <v>0.20902777777777778</v>
      </c>
      <c r="BF32" s="49">
        <f t="shared" si="34"/>
        <v>36.91</v>
      </c>
      <c r="BG32" s="34">
        <v>0</v>
      </c>
      <c r="BH32" s="39">
        <f t="shared" si="35"/>
        <v>36.91</v>
      </c>
      <c r="BI32" s="64"/>
      <c r="BM32" s="14">
        <f t="shared" si="4"/>
        <v>6.899999999999999</v>
      </c>
      <c r="BN32" s="14">
        <f t="shared" si="36"/>
        <v>6</v>
      </c>
      <c r="BO32" s="14">
        <f t="shared" si="37"/>
        <v>0.8999999999999986</v>
      </c>
      <c r="BP32" s="14">
        <f t="shared" si="5"/>
        <v>0</v>
      </c>
      <c r="BR32" s="14">
        <f t="shared" si="6"/>
        <v>0.5999999999999996</v>
      </c>
      <c r="BS32" s="14">
        <f t="shared" si="38"/>
        <v>0</v>
      </c>
      <c r="BT32" s="14">
        <f t="shared" si="39"/>
        <v>0.5999999999999996</v>
      </c>
      <c r="BU32" s="14">
        <f t="shared" si="7"/>
        <v>1</v>
      </c>
      <c r="BW32" s="14">
        <f t="shared" si="8"/>
        <v>0.2999999999999998</v>
      </c>
      <c r="BX32" s="14">
        <f t="shared" si="40"/>
        <v>0</v>
      </c>
      <c r="BY32" s="14">
        <f t="shared" si="41"/>
        <v>0.2999999999999998</v>
      </c>
      <c r="BZ32" s="14">
        <f t="shared" si="9"/>
        <v>1</v>
      </c>
      <c r="CB32" s="14">
        <f t="shared" si="10"/>
        <v>3.0999999999999996</v>
      </c>
      <c r="CC32" s="14">
        <f t="shared" si="42"/>
        <v>3</v>
      </c>
      <c r="CD32" s="14">
        <f t="shared" si="43"/>
        <v>0.09999999999999964</v>
      </c>
      <c r="CE32" s="14">
        <f t="shared" si="11"/>
        <v>0</v>
      </c>
    </row>
    <row r="33" spans="1:83" ht="12.75">
      <c r="A33" s="34">
        <v>24</v>
      </c>
      <c r="B33" s="54" t="str">
        <f>IF(A33="","",VLOOKUP(A33,Жеребьевка!$A$6:$C$45,2,0))</f>
        <v>Лобачёва Анжелика Юрьевна</v>
      </c>
      <c r="C33" s="34">
        <v>1</v>
      </c>
      <c r="D33" s="34">
        <v>1</v>
      </c>
      <c r="E33" s="14">
        <f t="shared" si="12"/>
        <v>3</v>
      </c>
      <c r="F33" s="28">
        <v>36.7</v>
      </c>
      <c r="G33" s="57"/>
      <c r="H33" s="14">
        <f t="shared" si="13"/>
        <v>0</v>
      </c>
      <c r="I33" s="14">
        <f t="shared" si="14"/>
        <v>0</v>
      </c>
      <c r="J33" s="14">
        <f t="shared" si="15"/>
        <v>0</v>
      </c>
      <c r="K33" s="29">
        <f t="shared" si="16"/>
        <v>-0.07000000000000028</v>
      </c>
      <c r="L33" s="14">
        <f t="shared" si="0"/>
        <v>7.93</v>
      </c>
      <c r="M33" s="34">
        <v>5</v>
      </c>
      <c r="N33" s="57"/>
      <c r="O33" s="14">
        <f t="shared" si="17"/>
        <v>10</v>
      </c>
      <c r="P33" s="28">
        <v>8.4</v>
      </c>
      <c r="Q33" s="57"/>
      <c r="R33" s="14">
        <f t="shared" si="18"/>
        <v>0</v>
      </c>
      <c r="S33" s="14">
        <f t="shared" si="19"/>
        <v>0</v>
      </c>
      <c r="T33" s="14">
        <f t="shared" si="20"/>
        <v>0</v>
      </c>
      <c r="U33" s="29">
        <f t="shared" si="21"/>
        <v>-0.05999999999999997</v>
      </c>
      <c r="V33" s="14">
        <f t="shared" si="1"/>
        <v>7.94</v>
      </c>
      <c r="W33" s="28">
        <v>4.5</v>
      </c>
      <c r="X33" s="57"/>
      <c r="Y33" s="14">
        <f t="shared" si="22"/>
        <v>0</v>
      </c>
      <c r="Z33" s="14">
        <f t="shared" si="23"/>
        <v>0</v>
      </c>
      <c r="AA33" s="14">
        <f t="shared" si="24"/>
        <v>0</v>
      </c>
      <c r="AB33" s="29">
        <f t="shared" si="25"/>
        <v>-0.029999999999999985</v>
      </c>
      <c r="AC33" s="14">
        <f t="shared" si="2"/>
        <v>7.97</v>
      </c>
      <c r="AD33" s="28">
        <v>10.9</v>
      </c>
      <c r="AE33" s="57"/>
      <c r="AF33" s="14">
        <f t="shared" si="26"/>
        <v>0</v>
      </c>
      <c r="AG33" s="14">
        <f t="shared" si="27"/>
        <v>0</v>
      </c>
      <c r="AH33" s="14">
        <f t="shared" si="28"/>
        <v>0</v>
      </c>
      <c r="AI33" s="29">
        <f t="shared" si="29"/>
        <v>-0.009999999999999966</v>
      </c>
      <c r="AJ33" s="14">
        <f t="shared" si="3"/>
        <v>7.99</v>
      </c>
      <c r="AK33" s="34">
        <v>2</v>
      </c>
      <c r="AL33" s="34">
        <v>2</v>
      </c>
      <c r="AM33" s="34">
        <v>2</v>
      </c>
      <c r="AN33" s="34">
        <v>2</v>
      </c>
      <c r="AO33" s="57"/>
      <c r="AP33" s="14">
        <f t="shared" si="30"/>
        <v>8</v>
      </c>
      <c r="AQ33" s="34">
        <v>42</v>
      </c>
      <c r="AR33" s="50"/>
      <c r="AS33" s="49">
        <f t="shared" si="31"/>
        <v>15</v>
      </c>
      <c r="AT33" s="34">
        <v>2</v>
      </c>
      <c r="AU33" s="34">
        <v>2</v>
      </c>
      <c r="AV33" s="34">
        <v>2</v>
      </c>
      <c r="AW33" s="57"/>
      <c r="AX33" s="14">
        <f t="shared" si="32"/>
        <v>8</v>
      </c>
      <c r="AY33" s="57"/>
      <c r="AZ33" s="57"/>
      <c r="BA33" s="57"/>
      <c r="BB33" s="57"/>
      <c r="BC33" s="29">
        <f t="shared" si="33"/>
        <v>0</v>
      </c>
      <c r="BD33" s="57"/>
      <c r="BE33" s="15">
        <v>0.13819444444444443</v>
      </c>
      <c r="BF33" s="49">
        <f t="shared" si="34"/>
        <v>75.83000000000001</v>
      </c>
      <c r="BG33" s="34">
        <v>0</v>
      </c>
      <c r="BH33" s="39">
        <f t="shared" si="35"/>
        <v>75.83000000000001</v>
      </c>
      <c r="BI33" s="64"/>
      <c r="BM33" s="14">
        <f t="shared" si="4"/>
        <v>0.7000000000000028</v>
      </c>
      <c r="BN33" s="14">
        <f t="shared" si="36"/>
        <v>0</v>
      </c>
      <c r="BO33" s="14">
        <f t="shared" si="37"/>
        <v>0.7000000000000028</v>
      </c>
      <c r="BP33" s="14">
        <f t="shared" si="5"/>
        <v>1</v>
      </c>
      <c r="BR33" s="14">
        <f t="shared" si="6"/>
        <v>0.5999999999999996</v>
      </c>
      <c r="BS33" s="14">
        <f t="shared" si="38"/>
        <v>0</v>
      </c>
      <c r="BT33" s="14">
        <f t="shared" si="39"/>
        <v>0.5999999999999996</v>
      </c>
      <c r="BU33" s="14">
        <f t="shared" si="7"/>
        <v>1</v>
      </c>
      <c r="BW33" s="14">
        <f t="shared" si="8"/>
        <v>0.2999999999999998</v>
      </c>
      <c r="BX33" s="14">
        <f t="shared" si="40"/>
        <v>0</v>
      </c>
      <c r="BY33" s="14">
        <f t="shared" si="41"/>
        <v>0.2999999999999998</v>
      </c>
      <c r="BZ33" s="14">
        <f t="shared" si="9"/>
        <v>1</v>
      </c>
      <c r="CB33" s="14">
        <f t="shared" si="10"/>
        <v>0.09999999999999964</v>
      </c>
      <c r="CC33" s="14">
        <f t="shared" si="42"/>
        <v>0</v>
      </c>
      <c r="CD33" s="14">
        <f t="shared" si="43"/>
        <v>0.09999999999999964</v>
      </c>
      <c r="CE33" s="14">
        <f t="shared" si="11"/>
        <v>1</v>
      </c>
    </row>
    <row r="34" spans="1:83" ht="12.75">
      <c r="A34" s="34">
        <v>25</v>
      </c>
      <c r="B34" s="54" t="str">
        <f>IF(A34="","",VLOOKUP(A34,Жеребьевка!$A$6:$C$45,2,0))</f>
        <v>Пиженко Анатолий Александрович</v>
      </c>
      <c r="C34" s="34">
        <v>1</v>
      </c>
      <c r="D34" s="34">
        <v>1</v>
      </c>
      <c r="E34" s="14">
        <f t="shared" si="12"/>
        <v>3</v>
      </c>
      <c r="F34" s="28">
        <v>34.2</v>
      </c>
      <c r="G34" s="57"/>
      <c r="H34" s="14">
        <f t="shared" si="13"/>
        <v>0</v>
      </c>
      <c r="I34" s="14">
        <f t="shared" si="14"/>
        <v>0</v>
      </c>
      <c r="J34" s="14">
        <f t="shared" si="15"/>
        <v>0</v>
      </c>
      <c r="K34" s="29">
        <f t="shared" si="16"/>
        <v>-0.17999999999999972</v>
      </c>
      <c r="L34" s="14">
        <f t="shared" si="0"/>
        <v>7.82</v>
      </c>
      <c r="M34" s="34">
        <v>5</v>
      </c>
      <c r="N34" s="57"/>
      <c r="O34" s="14">
        <f t="shared" si="17"/>
        <v>10</v>
      </c>
      <c r="P34" s="28">
        <v>8.6</v>
      </c>
      <c r="Q34" s="57"/>
      <c r="R34" s="14">
        <f t="shared" si="18"/>
        <v>0</v>
      </c>
      <c r="S34" s="14">
        <f t="shared" si="19"/>
        <v>0</v>
      </c>
      <c r="T34" s="14">
        <f t="shared" si="20"/>
        <v>0</v>
      </c>
      <c r="U34" s="29">
        <f t="shared" si="21"/>
        <v>-0.040000000000000036</v>
      </c>
      <c r="V34" s="14">
        <f t="shared" si="1"/>
        <v>7.96</v>
      </c>
      <c r="W34" s="28">
        <v>4.4</v>
      </c>
      <c r="X34" s="57"/>
      <c r="Y34" s="14">
        <f t="shared" si="22"/>
        <v>0</v>
      </c>
      <c r="Z34" s="14">
        <f t="shared" si="23"/>
        <v>0</v>
      </c>
      <c r="AA34" s="14">
        <f t="shared" si="24"/>
        <v>0</v>
      </c>
      <c r="AB34" s="29">
        <f t="shared" si="25"/>
        <v>-0.03999999999999995</v>
      </c>
      <c r="AC34" s="14">
        <f t="shared" si="2"/>
        <v>7.96</v>
      </c>
      <c r="AD34" s="28">
        <v>10.9</v>
      </c>
      <c r="AE34" s="57"/>
      <c r="AF34" s="14">
        <f t="shared" si="26"/>
        <v>0</v>
      </c>
      <c r="AG34" s="14">
        <f t="shared" si="27"/>
        <v>0</v>
      </c>
      <c r="AH34" s="14">
        <f t="shared" si="28"/>
        <v>0</v>
      </c>
      <c r="AI34" s="29">
        <f t="shared" si="29"/>
        <v>-0.009999999999999966</v>
      </c>
      <c r="AJ34" s="14">
        <f t="shared" si="3"/>
        <v>7.99</v>
      </c>
      <c r="AK34" s="34">
        <v>2</v>
      </c>
      <c r="AL34" s="34">
        <v>2</v>
      </c>
      <c r="AM34" s="34">
        <v>2</v>
      </c>
      <c r="AN34" s="34">
        <v>2</v>
      </c>
      <c r="AO34" s="57"/>
      <c r="AP34" s="14">
        <f t="shared" si="30"/>
        <v>8</v>
      </c>
      <c r="AQ34" s="34">
        <v>44</v>
      </c>
      <c r="AR34" s="50"/>
      <c r="AS34" s="49">
        <f t="shared" si="31"/>
        <v>15</v>
      </c>
      <c r="AT34" s="34">
        <v>3</v>
      </c>
      <c r="AU34" s="34">
        <v>2</v>
      </c>
      <c r="AV34" s="34">
        <v>2</v>
      </c>
      <c r="AW34" s="57"/>
      <c r="AX34" s="14">
        <f t="shared" si="32"/>
        <v>10</v>
      </c>
      <c r="AY34" s="57"/>
      <c r="AZ34" s="57"/>
      <c r="BA34" s="57"/>
      <c r="BB34" s="57"/>
      <c r="BC34" s="29">
        <f t="shared" si="33"/>
        <v>0</v>
      </c>
      <c r="BD34" s="57"/>
      <c r="BE34" s="15">
        <v>0.17500000000000002</v>
      </c>
      <c r="BF34" s="49">
        <f t="shared" si="34"/>
        <v>77.73</v>
      </c>
      <c r="BG34" s="34">
        <v>0</v>
      </c>
      <c r="BH34" s="39">
        <f t="shared" si="35"/>
        <v>77.73</v>
      </c>
      <c r="BI34" s="64"/>
      <c r="BM34" s="14">
        <f t="shared" si="4"/>
        <v>1.7999999999999972</v>
      </c>
      <c r="BN34" s="14">
        <f t="shared" si="36"/>
        <v>1</v>
      </c>
      <c r="BO34" s="14">
        <f t="shared" si="37"/>
        <v>0.7999999999999972</v>
      </c>
      <c r="BP34" s="14">
        <f t="shared" si="5"/>
        <v>1</v>
      </c>
      <c r="BR34" s="14">
        <f t="shared" si="6"/>
        <v>0.40000000000000036</v>
      </c>
      <c r="BS34" s="14">
        <f t="shared" si="38"/>
        <v>0</v>
      </c>
      <c r="BT34" s="14">
        <f t="shared" si="39"/>
        <v>0.40000000000000036</v>
      </c>
      <c r="BU34" s="14">
        <f t="shared" si="7"/>
        <v>1</v>
      </c>
      <c r="BW34" s="14">
        <f t="shared" si="8"/>
        <v>0.39999999999999947</v>
      </c>
      <c r="BX34" s="14">
        <f t="shared" si="40"/>
        <v>0</v>
      </c>
      <c r="BY34" s="14">
        <f t="shared" si="41"/>
        <v>0.39999999999999947</v>
      </c>
      <c r="BZ34" s="14">
        <f t="shared" si="9"/>
        <v>1</v>
      </c>
      <c r="CB34" s="14">
        <f t="shared" si="10"/>
        <v>0.09999999999999964</v>
      </c>
      <c r="CC34" s="14">
        <f t="shared" si="42"/>
        <v>0</v>
      </c>
      <c r="CD34" s="14">
        <f t="shared" si="43"/>
        <v>0.09999999999999964</v>
      </c>
      <c r="CE34" s="14">
        <f t="shared" si="11"/>
        <v>1</v>
      </c>
    </row>
    <row r="35" spans="1:83" ht="12.75">
      <c r="A35" s="34">
        <v>26</v>
      </c>
      <c r="B35" s="54" t="str">
        <f>IF(A35="","",VLOOKUP(A35,Жеребьевка!$A$6:$C$45,2,0))</f>
        <v>Полещук Юлия Викторовна</v>
      </c>
      <c r="C35" s="34">
        <v>1</v>
      </c>
      <c r="D35" s="34">
        <v>1</v>
      </c>
      <c r="E35" s="14">
        <f t="shared" si="12"/>
        <v>3</v>
      </c>
      <c r="F35" s="28">
        <v>46.5</v>
      </c>
      <c r="G35" s="57"/>
      <c r="H35" s="14">
        <f t="shared" si="13"/>
        <v>0</v>
      </c>
      <c r="I35" s="14">
        <f t="shared" si="14"/>
        <v>0</v>
      </c>
      <c r="J35" s="14">
        <f t="shared" si="15"/>
        <v>1</v>
      </c>
      <c r="K35" s="29">
        <f t="shared" si="16"/>
        <v>0</v>
      </c>
      <c r="L35" s="14">
        <f t="shared" si="0"/>
        <v>0</v>
      </c>
      <c r="M35" s="34">
        <v>3</v>
      </c>
      <c r="N35" s="57"/>
      <c r="O35" s="14">
        <f t="shared" si="17"/>
        <v>6</v>
      </c>
      <c r="P35" s="28">
        <v>8.1</v>
      </c>
      <c r="Q35" s="57"/>
      <c r="R35" s="14">
        <f t="shared" si="18"/>
        <v>0</v>
      </c>
      <c r="S35" s="14">
        <f t="shared" si="19"/>
        <v>0</v>
      </c>
      <c r="T35" s="14">
        <f t="shared" si="20"/>
        <v>0</v>
      </c>
      <c r="U35" s="29">
        <f t="shared" si="21"/>
        <v>-0.09000000000000004</v>
      </c>
      <c r="V35" s="14">
        <f t="shared" si="1"/>
        <v>7.91</v>
      </c>
      <c r="W35" s="28">
        <v>4.2</v>
      </c>
      <c r="X35" s="57"/>
      <c r="Y35" s="14">
        <f t="shared" si="22"/>
        <v>0</v>
      </c>
      <c r="Z35" s="14">
        <f t="shared" si="23"/>
        <v>0</v>
      </c>
      <c r="AA35" s="14">
        <f t="shared" si="24"/>
        <v>0</v>
      </c>
      <c r="AB35" s="29">
        <f t="shared" si="25"/>
        <v>-0.05999999999999997</v>
      </c>
      <c r="AC35" s="14">
        <f t="shared" si="2"/>
        <v>7.94</v>
      </c>
      <c r="AD35" s="28">
        <v>11.3</v>
      </c>
      <c r="AE35" s="57"/>
      <c r="AF35" s="14">
        <f t="shared" si="26"/>
        <v>0</v>
      </c>
      <c r="AG35" s="14">
        <f t="shared" si="27"/>
        <v>0</v>
      </c>
      <c r="AH35" s="14">
        <f t="shared" si="28"/>
        <v>0</v>
      </c>
      <c r="AI35" s="29">
        <f t="shared" si="29"/>
        <v>-0.05</v>
      </c>
      <c r="AJ35" s="14">
        <f t="shared" si="3"/>
        <v>7.95</v>
      </c>
      <c r="AK35" s="34">
        <v>1</v>
      </c>
      <c r="AL35" s="34">
        <v>2</v>
      </c>
      <c r="AM35" s="34">
        <v>2</v>
      </c>
      <c r="AN35" s="34">
        <v>2</v>
      </c>
      <c r="AO35" s="57"/>
      <c r="AP35" s="14">
        <f t="shared" si="30"/>
        <v>7</v>
      </c>
      <c r="AQ35" s="34">
        <v>38</v>
      </c>
      <c r="AR35" s="50"/>
      <c r="AS35" s="49">
        <f t="shared" si="31"/>
        <v>12</v>
      </c>
      <c r="AT35" s="34">
        <v>1</v>
      </c>
      <c r="AU35" s="34">
        <v>2</v>
      </c>
      <c r="AV35" s="34">
        <v>2</v>
      </c>
      <c r="AW35" s="57"/>
      <c r="AX35" s="14">
        <f t="shared" si="32"/>
        <v>6</v>
      </c>
      <c r="AY35" s="57"/>
      <c r="AZ35" s="57"/>
      <c r="BA35" s="57"/>
      <c r="BB35" s="57"/>
      <c r="BC35" s="29">
        <f t="shared" si="33"/>
        <v>0</v>
      </c>
      <c r="BD35" s="57"/>
      <c r="BE35" s="15">
        <v>0.19166666666666665</v>
      </c>
      <c r="BF35" s="49">
        <f t="shared" si="34"/>
        <v>57.800000000000004</v>
      </c>
      <c r="BG35" s="34">
        <v>0</v>
      </c>
      <c r="BH35" s="39">
        <f t="shared" si="35"/>
        <v>57.800000000000004</v>
      </c>
      <c r="BI35" s="64"/>
      <c r="BM35" s="14">
        <f t="shared" si="4"/>
        <v>10.5</v>
      </c>
      <c r="BN35" s="14">
        <f t="shared" si="36"/>
        <v>10</v>
      </c>
      <c r="BO35" s="14">
        <f t="shared" si="37"/>
        <v>0.5</v>
      </c>
      <c r="BP35" s="14">
        <f t="shared" si="5"/>
        <v>0</v>
      </c>
      <c r="BR35" s="14">
        <f t="shared" si="6"/>
        <v>0.9000000000000004</v>
      </c>
      <c r="BS35" s="14">
        <f t="shared" si="38"/>
        <v>0</v>
      </c>
      <c r="BT35" s="14">
        <f t="shared" si="39"/>
        <v>0.9000000000000004</v>
      </c>
      <c r="BU35" s="14">
        <f t="shared" si="7"/>
        <v>1</v>
      </c>
      <c r="BW35" s="14">
        <f t="shared" si="8"/>
        <v>0.5999999999999996</v>
      </c>
      <c r="BX35" s="14">
        <f t="shared" si="40"/>
        <v>0</v>
      </c>
      <c r="BY35" s="14">
        <f t="shared" si="41"/>
        <v>0.5999999999999996</v>
      </c>
      <c r="BZ35" s="14">
        <f t="shared" si="9"/>
        <v>1</v>
      </c>
      <c r="CB35" s="14">
        <f t="shared" si="10"/>
        <v>0.5</v>
      </c>
      <c r="CC35" s="14">
        <f t="shared" si="42"/>
        <v>0</v>
      </c>
      <c r="CD35" s="14">
        <f t="shared" si="43"/>
        <v>0.5</v>
      </c>
      <c r="CE35" s="14">
        <f t="shared" si="11"/>
        <v>1</v>
      </c>
    </row>
    <row r="36" spans="1:83" ht="12.75">
      <c r="A36" s="34">
        <v>27</v>
      </c>
      <c r="B36" s="54" t="str">
        <f>IF(A36="","",VLOOKUP(A36,Жеребьевка!$A$6:$C$45,2,0))</f>
        <v>Прохорова Ольга Викторовна</v>
      </c>
      <c r="C36" s="34">
        <v>1</v>
      </c>
      <c r="D36" s="34">
        <v>1</v>
      </c>
      <c r="E36" s="14">
        <f t="shared" si="12"/>
        <v>3</v>
      </c>
      <c r="F36" s="28">
        <v>40.3</v>
      </c>
      <c r="G36" s="57"/>
      <c r="H36" s="14">
        <f t="shared" si="13"/>
        <v>0</v>
      </c>
      <c r="I36" s="14">
        <f t="shared" si="14"/>
        <v>0</v>
      </c>
      <c r="J36" s="14">
        <f t="shared" si="15"/>
        <v>1</v>
      </c>
      <c r="K36" s="29">
        <f t="shared" si="16"/>
        <v>0</v>
      </c>
      <c r="L36" s="14">
        <f t="shared" si="0"/>
        <v>0</v>
      </c>
      <c r="M36" s="34">
        <v>3</v>
      </c>
      <c r="N36" s="57"/>
      <c r="O36" s="14">
        <f t="shared" si="17"/>
        <v>6</v>
      </c>
      <c r="P36" s="28">
        <v>7.2</v>
      </c>
      <c r="Q36" s="57"/>
      <c r="R36" s="14">
        <f t="shared" si="18"/>
        <v>0</v>
      </c>
      <c r="S36" s="14">
        <f t="shared" si="19"/>
        <v>0</v>
      </c>
      <c r="T36" s="14">
        <f t="shared" si="20"/>
        <v>0</v>
      </c>
      <c r="U36" s="29">
        <f t="shared" si="21"/>
        <v>-0.18</v>
      </c>
      <c r="V36" s="14">
        <f t="shared" si="1"/>
        <v>7.82</v>
      </c>
      <c r="W36" s="28">
        <v>4</v>
      </c>
      <c r="X36" s="57"/>
      <c r="Y36" s="14">
        <f t="shared" si="22"/>
        <v>0</v>
      </c>
      <c r="Z36" s="14">
        <f t="shared" si="23"/>
        <v>0</v>
      </c>
      <c r="AA36" s="14">
        <f t="shared" si="24"/>
        <v>0</v>
      </c>
      <c r="AB36" s="29">
        <f t="shared" si="25"/>
        <v>-0.07999999999999999</v>
      </c>
      <c r="AC36" s="14">
        <f t="shared" si="2"/>
        <v>7.92</v>
      </c>
      <c r="AD36" s="28">
        <v>11.2</v>
      </c>
      <c r="AE36" s="57"/>
      <c r="AF36" s="14">
        <f t="shared" si="26"/>
        <v>0</v>
      </c>
      <c r="AG36" s="14">
        <f t="shared" si="27"/>
        <v>0</v>
      </c>
      <c r="AH36" s="14">
        <f t="shared" si="28"/>
        <v>0</v>
      </c>
      <c r="AI36" s="29">
        <f t="shared" si="29"/>
        <v>-0.03999999999999986</v>
      </c>
      <c r="AJ36" s="14">
        <f t="shared" si="3"/>
        <v>7.96</v>
      </c>
      <c r="AK36" s="34">
        <v>2</v>
      </c>
      <c r="AL36" s="34">
        <v>2</v>
      </c>
      <c r="AM36" s="34">
        <v>2</v>
      </c>
      <c r="AN36" s="34">
        <v>2</v>
      </c>
      <c r="AO36" s="57"/>
      <c r="AP36" s="14">
        <f t="shared" si="30"/>
        <v>8</v>
      </c>
      <c r="AQ36" s="34">
        <v>32</v>
      </c>
      <c r="AR36" s="50"/>
      <c r="AS36" s="49">
        <f t="shared" si="31"/>
        <v>0</v>
      </c>
      <c r="AT36" s="34">
        <v>2</v>
      </c>
      <c r="AU36" s="34">
        <v>2</v>
      </c>
      <c r="AV36" s="34">
        <v>2</v>
      </c>
      <c r="AW36" s="57"/>
      <c r="AX36" s="14">
        <f t="shared" si="32"/>
        <v>8</v>
      </c>
      <c r="AY36" s="57"/>
      <c r="AZ36" s="57"/>
      <c r="BA36" s="57"/>
      <c r="BB36" s="57"/>
      <c r="BC36" s="29">
        <f t="shared" si="33"/>
        <v>0</v>
      </c>
      <c r="BD36" s="57"/>
      <c r="BE36" s="15">
        <v>0.18611111111111112</v>
      </c>
      <c r="BF36" s="49">
        <f t="shared" si="34"/>
        <v>48.7</v>
      </c>
      <c r="BG36" s="34">
        <v>0</v>
      </c>
      <c r="BH36" s="39">
        <f t="shared" si="35"/>
        <v>48.7</v>
      </c>
      <c r="BI36" s="64"/>
      <c r="BM36" s="14">
        <f t="shared" si="4"/>
        <v>4.299999999999997</v>
      </c>
      <c r="BN36" s="14">
        <f t="shared" si="36"/>
        <v>4</v>
      </c>
      <c r="BO36" s="14">
        <f t="shared" si="37"/>
        <v>0.29999999999999716</v>
      </c>
      <c r="BP36" s="14">
        <f t="shared" si="5"/>
        <v>0</v>
      </c>
      <c r="BR36" s="14">
        <f t="shared" si="6"/>
        <v>1.7999999999999998</v>
      </c>
      <c r="BS36" s="14">
        <f t="shared" si="38"/>
        <v>1</v>
      </c>
      <c r="BT36" s="14">
        <f t="shared" si="39"/>
        <v>0.7999999999999998</v>
      </c>
      <c r="BU36" s="14">
        <f t="shared" si="7"/>
        <v>1</v>
      </c>
      <c r="BW36" s="14">
        <f t="shared" si="8"/>
        <v>0.7999999999999998</v>
      </c>
      <c r="BX36" s="14">
        <f t="shared" si="40"/>
        <v>0</v>
      </c>
      <c r="BY36" s="14">
        <f t="shared" si="41"/>
        <v>0.7999999999999998</v>
      </c>
      <c r="BZ36" s="14">
        <f t="shared" si="9"/>
        <v>1</v>
      </c>
      <c r="CB36" s="14">
        <f t="shared" si="10"/>
        <v>0.3999999999999986</v>
      </c>
      <c r="CC36" s="14">
        <f t="shared" si="42"/>
        <v>0</v>
      </c>
      <c r="CD36" s="14">
        <f t="shared" si="43"/>
        <v>0.3999999999999986</v>
      </c>
      <c r="CE36" s="14">
        <f t="shared" si="11"/>
        <v>1</v>
      </c>
    </row>
    <row r="37" spans="1:83" ht="12.75">
      <c r="A37" s="34">
        <v>28</v>
      </c>
      <c r="B37" s="54" t="str">
        <f>IF(A37="","",VLOOKUP(A37,Жеребьевка!$A$6:$C$45,2,0))</f>
        <v>Филатов Александр Валерьевич</v>
      </c>
      <c r="C37" s="34">
        <v>1</v>
      </c>
      <c r="D37" s="34">
        <v>1</v>
      </c>
      <c r="E37" s="14">
        <f t="shared" si="12"/>
        <v>3</v>
      </c>
      <c r="F37" s="28">
        <v>50</v>
      </c>
      <c r="G37" s="57"/>
      <c r="H37" s="14">
        <f t="shared" si="13"/>
        <v>0</v>
      </c>
      <c r="I37" s="14">
        <f t="shared" si="14"/>
        <v>0</v>
      </c>
      <c r="J37" s="14">
        <f t="shared" si="15"/>
        <v>1</v>
      </c>
      <c r="K37" s="29">
        <f t="shared" si="16"/>
        <v>0</v>
      </c>
      <c r="L37" s="14">
        <f t="shared" si="0"/>
        <v>0</v>
      </c>
      <c r="M37" s="34">
        <v>3</v>
      </c>
      <c r="N37" s="57"/>
      <c r="O37" s="14">
        <f t="shared" si="17"/>
        <v>6</v>
      </c>
      <c r="P37" s="28">
        <v>6.4</v>
      </c>
      <c r="Q37" s="57"/>
      <c r="R37" s="14">
        <f t="shared" si="18"/>
        <v>0</v>
      </c>
      <c r="S37" s="14">
        <f t="shared" si="19"/>
        <v>0</v>
      </c>
      <c r="T37" s="14">
        <f t="shared" si="20"/>
        <v>0</v>
      </c>
      <c r="U37" s="29">
        <f t="shared" si="21"/>
        <v>-0.26</v>
      </c>
      <c r="V37" s="14">
        <f t="shared" si="1"/>
        <v>7.74</v>
      </c>
      <c r="W37" s="28">
        <v>4.2</v>
      </c>
      <c r="X37" s="57"/>
      <c r="Y37" s="14">
        <f t="shared" si="22"/>
        <v>0</v>
      </c>
      <c r="Z37" s="14">
        <f t="shared" si="23"/>
        <v>0</v>
      </c>
      <c r="AA37" s="14">
        <f t="shared" si="24"/>
        <v>0</v>
      </c>
      <c r="AB37" s="29">
        <f t="shared" si="25"/>
        <v>-0.05999999999999997</v>
      </c>
      <c r="AC37" s="14">
        <f t="shared" si="2"/>
        <v>7.94</v>
      </c>
      <c r="AD37" s="28">
        <v>9.8</v>
      </c>
      <c r="AE37" s="57"/>
      <c r="AF37" s="14">
        <f t="shared" si="26"/>
        <v>0</v>
      </c>
      <c r="AG37" s="14">
        <f t="shared" si="27"/>
        <v>0</v>
      </c>
      <c r="AH37" s="14">
        <f t="shared" si="28"/>
        <v>0</v>
      </c>
      <c r="AI37" s="29">
        <f t="shared" si="29"/>
        <v>-0.1</v>
      </c>
      <c r="AJ37" s="14">
        <f t="shared" si="3"/>
        <v>7.9</v>
      </c>
      <c r="AK37" s="34">
        <v>2</v>
      </c>
      <c r="AL37" s="34">
        <v>2</v>
      </c>
      <c r="AM37" s="34">
        <v>2</v>
      </c>
      <c r="AN37" s="34">
        <v>2</v>
      </c>
      <c r="AO37" s="57"/>
      <c r="AP37" s="14">
        <f t="shared" si="30"/>
        <v>8</v>
      </c>
      <c r="AQ37" s="34">
        <v>35</v>
      </c>
      <c r="AR37" s="50"/>
      <c r="AS37" s="49">
        <f t="shared" si="31"/>
        <v>0</v>
      </c>
      <c r="AT37" s="34">
        <v>3</v>
      </c>
      <c r="AU37" s="34">
        <v>0</v>
      </c>
      <c r="AV37" s="34">
        <v>2</v>
      </c>
      <c r="AW37" s="57"/>
      <c r="AX37" s="14">
        <f t="shared" si="32"/>
        <v>8</v>
      </c>
      <c r="AY37" s="57"/>
      <c r="AZ37" s="57"/>
      <c r="BA37" s="57"/>
      <c r="BB37" s="57"/>
      <c r="BC37" s="29">
        <f t="shared" si="33"/>
        <v>0</v>
      </c>
      <c r="BD37" s="57">
        <v>1</v>
      </c>
      <c r="BE37" s="15">
        <v>0.21041666666666667</v>
      </c>
      <c r="BF37" s="49">
        <f t="shared" si="34"/>
        <v>0</v>
      </c>
      <c r="BG37" s="34">
        <v>0</v>
      </c>
      <c r="BH37" s="39">
        <f t="shared" si="35"/>
        <v>0</v>
      </c>
      <c r="BI37" s="64"/>
      <c r="BM37" s="14">
        <f t="shared" si="4"/>
        <v>14</v>
      </c>
      <c r="BN37" s="14">
        <f t="shared" si="36"/>
        <v>14</v>
      </c>
      <c r="BO37" s="14">
        <f t="shared" si="37"/>
        <v>0</v>
      </c>
      <c r="BP37" s="14">
        <f t="shared" si="5"/>
        <v>0</v>
      </c>
      <c r="BR37" s="14">
        <f t="shared" si="6"/>
        <v>2.5999999999999996</v>
      </c>
      <c r="BS37" s="14">
        <f t="shared" si="38"/>
        <v>2</v>
      </c>
      <c r="BT37" s="14">
        <f t="shared" si="39"/>
        <v>0.5999999999999996</v>
      </c>
      <c r="BU37" s="14">
        <f t="shared" si="7"/>
        <v>1</v>
      </c>
      <c r="BW37" s="14">
        <f t="shared" si="8"/>
        <v>0.5999999999999996</v>
      </c>
      <c r="BX37" s="14">
        <f t="shared" si="40"/>
        <v>0</v>
      </c>
      <c r="BY37" s="14">
        <f t="shared" si="41"/>
        <v>0.5999999999999996</v>
      </c>
      <c r="BZ37" s="14">
        <f t="shared" si="9"/>
        <v>1</v>
      </c>
      <c r="CB37" s="14">
        <f t="shared" si="10"/>
        <v>1</v>
      </c>
      <c r="CC37" s="14">
        <f t="shared" si="42"/>
        <v>1</v>
      </c>
      <c r="CD37" s="14">
        <f t="shared" si="43"/>
        <v>0</v>
      </c>
      <c r="CE37" s="14">
        <f t="shared" si="11"/>
        <v>1</v>
      </c>
    </row>
    <row r="38" spans="1:83" ht="12.75">
      <c r="A38" s="34">
        <v>29</v>
      </c>
      <c r="B38" s="54" t="str">
        <f>IF(A38="","",VLOOKUP(A38,Жеребьевка!$A$6:$C$45,2,0))</f>
        <v>Шереверов Алексей Юрьевич</v>
      </c>
      <c r="C38" s="34">
        <v>1</v>
      </c>
      <c r="D38" s="34">
        <v>1</v>
      </c>
      <c r="E38" s="14">
        <f t="shared" si="12"/>
        <v>3</v>
      </c>
      <c r="F38" s="28">
        <v>32.5</v>
      </c>
      <c r="G38" s="57"/>
      <c r="H38" s="14">
        <f t="shared" si="13"/>
        <v>0</v>
      </c>
      <c r="I38" s="14">
        <f t="shared" si="14"/>
        <v>1</v>
      </c>
      <c r="J38" s="14">
        <f t="shared" si="15"/>
        <v>0</v>
      </c>
      <c r="K38" s="29">
        <f t="shared" si="16"/>
        <v>0</v>
      </c>
      <c r="L38" s="14">
        <f t="shared" si="0"/>
        <v>0</v>
      </c>
      <c r="M38" s="34">
        <v>2</v>
      </c>
      <c r="N38" s="57"/>
      <c r="O38" s="14">
        <f t="shared" si="17"/>
        <v>4</v>
      </c>
      <c r="P38" s="28">
        <v>9.5</v>
      </c>
      <c r="Q38" s="57"/>
      <c r="R38" s="14">
        <f t="shared" si="18"/>
        <v>0</v>
      </c>
      <c r="S38" s="14">
        <f t="shared" si="19"/>
        <v>0</v>
      </c>
      <c r="T38" s="14">
        <f t="shared" si="20"/>
        <v>0</v>
      </c>
      <c r="U38" s="29">
        <f t="shared" si="21"/>
        <v>-0.05</v>
      </c>
      <c r="V38" s="14">
        <f t="shared" si="1"/>
        <v>7.95</v>
      </c>
      <c r="W38" s="28">
        <v>5.2</v>
      </c>
      <c r="X38" s="57"/>
      <c r="Y38" s="14">
        <f t="shared" si="22"/>
        <v>0</v>
      </c>
      <c r="Z38" s="14">
        <f t="shared" si="23"/>
        <v>0</v>
      </c>
      <c r="AA38" s="14">
        <f t="shared" si="24"/>
        <v>0</v>
      </c>
      <c r="AB38" s="29">
        <f t="shared" si="25"/>
        <v>-0.040000000000000036</v>
      </c>
      <c r="AC38" s="14">
        <f t="shared" si="2"/>
        <v>7.96</v>
      </c>
      <c r="AD38" s="28">
        <v>10.5</v>
      </c>
      <c r="AE38" s="57"/>
      <c r="AF38" s="14">
        <f t="shared" si="26"/>
        <v>0</v>
      </c>
      <c r="AG38" s="14">
        <f t="shared" si="27"/>
        <v>0</v>
      </c>
      <c r="AH38" s="14">
        <f t="shared" si="28"/>
        <v>0</v>
      </c>
      <c r="AI38" s="29">
        <f t="shared" si="29"/>
        <v>-0.030000000000000072</v>
      </c>
      <c r="AJ38" s="14">
        <f t="shared" si="3"/>
        <v>7.97</v>
      </c>
      <c r="AK38" s="34">
        <v>2</v>
      </c>
      <c r="AL38" s="34">
        <v>2</v>
      </c>
      <c r="AM38" s="34">
        <v>2</v>
      </c>
      <c r="AN38" s="34">
        <v>2</v>
      </c>
      <c r="AO38" s="57"/>
      <c r="AP38" s="14">
        <f t="shared" si="30"/>
        <v>8</v>
      </c>
      <c r="AQ38" s="34">
        <v>43</v>
      </c>
      <c r="AR38" s="50"/>
      <c r="AS38" s="49">
        <f t="shared" si="31"/>
        <v>15</v>
      </c>
      <c r="AT38" s="34">
        <v>3</v>
      </c>
      <c r="AU38" s="34">
        <v>2</v>
      </c>
      <c r="AV38" s="34">
        <v>0</v>
      </c>
      <c r="AW38" s="57"/>
      <c r="AX38" s="14">
        <f t="shared" si="32"/>
        <v>8</v>
      </c>
      <c r="AY38" s="57"/>
      <c r="AZ38" s="57"/>
      <c r="BA38" s="57"/>
      <c r="BB38" s="57"/>
      <c r="BC38" s="29">
        <f t="shared" si="33"/>
        <v>0</v>
      </c>
      <c r="BD38" s="57"/>
      <c r="BE38" s="15">
        <v>0.19583333333333333</v>
      </c>
      <c r="BF38" s="49">
        <f t="shared" si="34"/>
        <v>61.879999999999995</v>
      </c>
      <c r="BG38" s="34">
        <v>0</v>
      </c>
      <c r="BH38" s="39">
        <f t="shared" si="35"/>
        <v>61.879999999999995</v>
      </c>
      <c r="BI38" s="64"/>
      <c r="BM38" s="14">
        <f t="shared" si="4"/>
        <v>3.5</v>
      </c>
      <c r="BN38" s="14">
        <f t="shared" si="36"/>
        <v>3</v>
      </c>
      <c r="BO38" s="14">
        <f t="shared" si="37"/>
        <v>0.5</v>
      </c>
      <c r="BP38" s="14">
        <f t="shared" si="5"/>
        <v>0</v>
      </c>
      <c r="BR38" s="14">
        <f t="shared" si="6"/>
        <v>0.5</v>
      </c>
      <c r="BS38" s="14">
        <f t="shared" si="38"/>
        <v>0</v>
      </c>
      <c r="BT38" s="14">
        <f t="shared" si="39"/>
        <v>0.5</v>
      </c>
      <c r="BU38" s="14">
        <f t="shared" si="7"/>
        <v>1</v>
      </c>
      <c r="BW38" s="14">
        <f t="shared" si="8"/>
        <v>0.40000000000000036</v>
      </c>
      <c r="BX38" s="14">
        <f t="shared" si="40"/>
        <v>0</v>
      </c>
      <c r="BY38" s="14">
        <f t="shared" si="41"/>
        <v>0.40000000000000036</v>
      </c>
      <c r="BZ38" s="14">
        <f t="shared" si="9"/>
        <v>1</v>
      </c>
      <c r="CB38" s="14">
        <f t="shared" si="10"/>
        <v>0.3000000000000007</v>
      </c>
      <c r="CC38" s="14">
        <f t="shared" si="42"/>
        <v>0</v>
      </c>
      <c r="CD38" s="14">
        <f t="shared" si="43"/>
        <v>0.3000000000000007</v>
      </c>
      <c r="CE38" s="14">
        <f t="shared" si="11"/>
        <v>1</v>
      </c>
    </row>
    <row r="39" spans="1:83" ht="12.75">
      <c r="A39" s="34">
        <v>30</v>
      </c>
      <c r="B39" s="54" t="str">
        <f>IF(A39="","",VLOOKUP(A39,Жеребьевка!$A$6:$C$45,2,0))</f>
        <v>Дикова Ирина Владимировна</v>
      </c>
      <c r="C39" s="34">
        <v>1</v>
      </c>
      <c r="D39" s="34">
        <v>1</v>
      </c>
      <c r="E39" s="14">
        <f t="shared" si="12"/>
        <v>3</v>
      </c>
      <c r="F39" s="28">
        <v>39.5</v>
      </c>
      <c r="G39" s="57"/>
      <c r="H39" s="14">
        <f t="shared" si="13"/>
        <v>0</v>
      </c>
      <c r="I39" s="14">
        <f t="shared" si="14"/>
        <v>0</v>
      </c>
      <c r="J39" s="14">
        <f t="shared" si="15"/>
        <v>1</v>
      </c>
      <c r="K39" s="29">
        <f t="shared" si="16"/>
        <v>0</v>
      </c>
      <c r="L39" s="14">
        <f t="shared" si="0"/>
        <v>0</v>
      </c>
      <c r="M39" s="34">
        <v>3</v>
      </c>
      <c r="N39" s="57"/>
      <c r="O39" s="14">
        <f t="shared" si="17"/>
        <v>6</v>
      </c>
      <c r="P39" s="28">
        <v>7.6</v>
      </c>
      <c r="Q39" s="57"/>
      <c r="R39" s="14">
        <f t="shared" si="18"/>
        <v>0</v>
      </c>
      <c r="S39" s="14">
        <f t="shared" si="19"/>
        <v>0</v>
      </c>
      <c r="T39" s="14">
        <f t="shared" si="20"/>
        <v>0</v>
      </c>
      <c r="U39" s="29">
        <f t="shared" si="21"/>
        <v>-0.14000000000000004</v>
      </c>
      <c r="V39" s="14">
        <f t="shared" si="1"/>
        <v>7.86</v>
      </c>
      <c r="W39" s="28">
        <v>4.3</v>
      </c>
      <c r="X39" s="57"/>
      <c r="Y39" s="14">
        <f t="shared" si="22"/>
        <v>0</v>
      </c>
      <c r="Z39" s="14">
        <f t="shared" si="23"/>
        <v>0</v>
      </c>
      <c r="AA39" s="14">
        <f t="shared" si="24"/>
        <v>0</v>
      </c>
      <c r="AB39" s="29">
        <f t="shared" si="25"/>
        <v>-0.05</v>
      </c>
      <c r="AC39" s="14">
        <f t="shared" si="2"/>
        <v>7.95</v>
      </c>
      <c r="AD39" s="28">
        <v>12.9</v>
      </c>
      <c r="AE39" s="57"/>
      <c r="AF39" s="14">
        <f t="shared" si="26"/>
        <v>0</v>
      </c>
      <c r="AG39" s="14">
        <f t="shared" si="27"/>
        <v>0</v>
      </c>
      <c r="AH39" s="14">
        <f t="shared" si="28"/>
        <v>0</v>
      </c>
      <c r="AI39" s="29">
        <f t="shared" si="29"/>
        <v>-0.20999999999999996</v>
      </c>
      <c r="AJ39" s="14">
        <f t="shared" si="3"/>
        <v>7.79</v>
      </c>
      <c r="AK39" s="34">
        <v>0</v>
      </c>
      <c r="AL39" s="34">
        <v>2</v>
      </c>
      <c r="AM39" s="34">
        <v>2</v>
      </c>
      <c r="AN39" s="34">
        <v>2</v>
      </c>
      <c r="AO39" s="57">
        <v>1</v>
      </c>
      <c r="AP39" s="14">
        <f t="shared" si="30"/>
        <v>0</v>
      </c>
      <c r="AQ39" s="34">
        <v>44</v>
      </c>
      <c r="AR39" s="50"/>
      <c r="AS39" s="49">
        <f t="shared" si="31"/>
        <v>15</v>
      </c>
      <c r="AT39" s="34">
        <v>1</v>
      </c>
      <c r="AU39" s="34">
        <v>2</v>
      </c>
      <c r="AV39" s="34">
        <v>2</v>
      </c>
      <c r="AW39" s="57">
        <v>1</v>
      </c>
      <c r="AX39" s="14">
        <f t="shared" si="32"/>
        <v>0</v>
      </c>
      <c r="AY39" s="57"/>
      <c r="AZ39" s="57"/>
      <c r="BA39" s="57"/>
      <c r="BB39" s="57"/>
      <c r="BC39" s="29">
        <f t="shared" si="33"/>
        <v>0</v>
      </c>
      <c r="BD39" s="57"/>
      <c r="BE39" s="15">
        <v>0.20138888888888887</v>
      </c>
      <c r="BF39" s="49">
        <f t="shared" si="34"/>
        <v>47.6</v>
      </c>
      <c r="BG39" s="34">
        <v>0</v>
      </c>
      <c r="BH39" s="39">
        <f t="shared" si="35"/>
        <v>47.6</v>
      </c>
      <c r="BI39" s="64"/>
      <c r="BM39" s="14">
        <f t="shared" si="4"/>
        <v>3.5</v>
      </c>
      <c r="BN39" s="14">
        <f t="shared" si="36"/>
        <v>3</v>
      </c>
      <c r="BO39" s="14">
        <f t="shared" si="37"/>
        <v>0.5</v>
      </c>
      <c r="BP39" s="14">
        <f t="shared" si="5"/>
        <v>0</v>
      </c>
      <c r="BR39" s="14">
        <f t="shared" si="6"/>
        <v>1.4000000000000004</v>
      </c>
      <c r="BS39" s="14">
        <f t="shared" si="38"/>
        <v>1</v>
      </c>
      <c r="BT39" s="14">
        <f t="shared" si="39"/>
        <v>0.40000000000000036</v>
      </c>
      <c r="BU39" s="14">
        <f t="shared" si="7"/>
        <v>1</v>
      </c>
      <c r="BW39" s="14">
        <f t="shared" si="8"/>
        <v>0.5</v>
      </c>
      <c r="BX39" s="14">
        <f t="shared" si="40"/>
        <v>0</v>
      </c>
      <c r="BY39" s="14">
        <f t="shared" si="41"/>
        <v>0.5</v>
      </c>
      <c r="BZ39" s="14">
        <f t="shared" si="9"/>
        <v>1</v>
      </c>
      <c r="CB39" s="14">
        <f t="shared" si="10"/>
        <v>2.0999999999999996</v>
      </c>
      <c r="CC39" s="14">
        <f t="shared" si="42"/>
        <v>2</v>
      </c>
      <c r="CD39" s="14">
        <f t="shared" si="43"/>
        <v>0.09999999999999964</v>
      </c>
      <c r="CE39" s="14">
        <f t="shared" si="11"/>
        <v>1</v>
      </c>
    </row>
    <row r="40" spans="1:83" ht="12.75">
      <c r="A40" s="34">
        <v>31</v>
      </c>
      <c r="B40" s="54" t="str">
        <f>IF(A40="","",VLOOKUP(A40,Жеребьевка!$A$6:$C$45,2,0))</f>
        <v>Демина Кристина Альбертовна</v>
      </c>
      <c r="C40" s="34">
        <v>1</v>
      </c>
      <c r="D40" s="34">
        <v>1</v>
      </c>
      <c r="E40" s="14">
        <f t="shared" si="12"/>
        <v>3</v>
      </c>
      <c r="F40" s="28">
        <v>35</v>
      </c>
      <c r="G40" s="57"/>
      <c r="H40" s="14">
        <f t="shared" si="13"/>
        <v>0</v>
      </c>
      <c r="I40" s="14">
        <f t="shared" si="14"/>
        <v>0</v>
      </c>
      <c r="J40" s="14">
        <f t="shared" si="15"/>
        <v>0</v>
      </c>
      <c r="K40" s="29">
        <f t="shared" si="16"/>
        <v>-0.1</v>
      </c>
      <c r="L40" s="14">
        <f t="shared" si="0"/>
        <v>7.9</v>
      </c>
      <c r="M40" s="34">
        <v>4</v>
      </c>
      <c r="N40" s="57"/>
      <c r="O40" s="14">
        <f t="shared" si="17"/>
        <v>8</v>
      </c>
      <c r="P40" s="28">
        <v>5.2</v>
      </c>
      <c r="Q40" s="57"/>
      <c r="R40" s="14">
        <f t="shared" si="18"/>
        <v>0</v>
      </c>
      <c r="S40" s="14">
        <f t="shared" si="19"/>
        <v>1</v>
      </c>
      <c r="T40" s="14">
        <f t="shared" si="20"/>
        <v>0</v>
      </c>
      <c r="U40" s="29">
        <f t="shared" si="21"/>
        <v>0</v>
      </c>
      <c r="V40" s="14">
        <f t="shared" si="1"/>
        <v>0</v>
      </c>
      <c r="W40" s="28">
        <v>3.1</v>
      </c>
      <c r="X40" s="57"/>
      <c r="Y40" s="14">
        <f t="shared" si="22"/>
        <v>0</v>
      </c>
      <c r="Z40" s="14">
        <f t="shared" si="23"/>
        <v>0</v>
      </c>
      <c r="AA40" s="14">
        <f t="shared" si="24"/>
        <v>0</v>
      </c>
      <c r="AB40" s="29">
        <f t="shared" si="25"/>
        <v>-0.16999999999999998</v>
      </c>
      <c r="AC40" s="14">
        <f t="shared" si="2"/>
        <v>7.83</v>
      </c>
      <c r="AD40" s="28">
        <v>9.2</v>
      </c>
      <c r="AE40" s="57"/>
      <c r="AF40" s="14">
        <f t="shared" si="26"/>
        <v>0</v>
      </c>
      <c r="AG40" s="14">
        <f t="shared" si="27"/>
        <v>0</v>
      </c>
      <c r="AH40" s="14">
        <f t="shared" si="28"/>
        <v>0</v>
      </c>
      <c r="AI40" s="29">
        <f t="shared" si="29"/>
        <v>-0.16000000000000014</v>
      </c>
      <c r="AJ40" s="14">
        <f t="shared" si="3"/>
        <v>7.84</v>
      </c>
      <c r="AK40" s="34">
        <v>3</v>
      </c>
      <c r="AL40" s="34">
        <v>2</v>
      </c>
      <c r="AM40" s="34">
        <v>2</v>
      </c>
      <c r="AN40" s="34">
        <v>2</v>
      </c>
      <c r="AO40" s="57"/>
      <c r="AP40" s="14">
        <f t="shared" si="30"/>
        <v>9</v>
      </c>
      <c r="AQ40" s="34">
        <v>47</v>
      </c>
      <c r="AR40" s="50">
        <v>1</v>
      </c>
      <c r="AS40" s="49">
        <f t="shared" si="31"/>
        <v>0</v>
      </c>
      <c r="AT40" s="34">
        <v>2</v>
      </c>
      <c r="AU40" s="34">
        <v>2</v>
      </c>
      <c r="AV40" s="34">
        <v>2</v>
      </c>
      <c r="AW40" s="57"/>
      <c r="AX40" s="14">
        <f t="shared" si="32"/>
        <v>8</v>
      </c>
      <c r="AY40" s="57"/>
      <c r="AZ40" s="57"/>
      <c r="BA40" s="57"/>
      <c r="BB40" s="57"/>
      <c r="BC40" s="29">
        <f t="shared" si="33"/>
        <v>0</v>
      </c>
      <c r="BD40" s="57"/>
      <c r="BE40" s="15">
        <v>0.20625000000000002</v>
      </c>
      <c r="BF40" s="49">
        <f t="shared" si="34"/>
        <v>51.56999999999999</v>
      </c>
      <c r="BG40" s="34">
        <v>0</v>
      </c>
      <c r="BH40" s="39">
        <f t="shared" si="35"/>
        <v>51.56999999999999</v>
      </c>
      <c r="BI40" s="64"/>
      <c r="BM40" s="14">
        <f t="shared" si="4"/>
        <v>1</v>
      </c>
      <c r="BN40" s="14">
        <f t="shared" si="36"/>
        <v>1</v>
      </c>
      <c r="BO40" s="14">
        <f t="shared" si="37"/>
        <v>0</v>
      </c>
      <c r="BP40" s="14">
        <f t="shared" si="5"/>
        <v>1</v>
      </c>
      <c r="BR40" s="14">
        <f t="shared" si="6"/>
        <v>3.8</v>
      </c>
      <c r="BS40" s="14">
        <f t="shared" si="38"/>
        <v>3</v>
      </c>
      <c r="BT40" s="14">
        <f t="shared" si="39"/>
        <v>0.7999999999999998</v>
      </c>
      <c r="BU40" s="14">
        <f t="shared" si="7"/>
        <v>0</v>
      </c>
      <c r="BW40" s="14">
        <f t="shared" si="8"/>
        <v>1.6999999999999997</v>
      </c>
      <c r="BX40" s="14">
        <f t="shared" si="40"/>
        <v>1</v>
      </c>
      <c r="BY40" s="14">
        <f t="shared" si="41"/>
        <v>0.6999999999999997</v>
      </c>
      <c r="BZ40" s="14">
        <f t="shared" si="9"/>
        <v>1</v>
      </c>
      <c r="CB40" s="14">
        <f t="shared" si="10"/>
        <v>1.6000000000000014</v>
      </c>
      <c r="CC40" s="14">
        <f t="shared" si="42"/>
        <v>1</v>
      </c>
      <c r="CD40" s="14">
        <f t="shared" si="43"/>
        <v>0.6000000000000014</v>
      </c>
      <c r="CE40" s="14">
        <f t="shared" si="11"/>
        <v>1</v>
      </c>
    </row>
    <row r="41" spans="1:83" ht="12.75">
      <c r="A41" s="34">
        <v>32</v>
      </c>
      <c r="B41" s="54" t="str">
        <f>IF(A41="","",VLOOKUP(A41,Жеребьевка!$A$6:$C$45,2,0))</f>
        <v>Долганов Никита Вячеславович</v>
      </c>
      <c r="C41" s="34">
        <v>1</v>
      </c>
      <c r="D41" s="34">
        <v>1</v>
      </c>
      <c r="E41" s="14">
        <f t="shared" si="12"/>
        <v>3</v>
      </c>
      <c r="F41" s="28">
        <v>39.8</v>
      </c>
      <c r="G41" s="57"/>
      <c r="H41" s="14">
        <f t="shared" si="13"/>
        <v>0</v>
      </c>
      <c r="I41" s="14">
        <f t="shared" si="14"/>
        <v>0</v>
      </c>
      <c r="J41" s="14">
        <f t="shared" si="15"/>
        <v>1</v>
      </c>
      <c r="K41" s="29">
        <f t="shared" si="16"/>
        <v>0</v>
      </c>
      <c r="L41" s="14">
        <f t="shared" si="0"/>
        <v>0</v>
      </c>
      <c r="M41" s="34">
        <v>4</v>
      </c>
      <c r="N41" s="57"/>
      <c r="O41" s="14">
        <f t="shared" si="17"/>
        <v>8</v>
      </c>
      <c r="P41" s="28">
        <v>9.6</v>
      </c>
      <c r="Q41" s="57"/>
      <c r="R41" s="14">
        <f t="shared" si="18"/>
        <v>0</v>
      </c>
      <c r="S41" s="14">
        <f t="shared" si="19"/>
        <v>0</v>
      </c>
      <c r="T41" s="14">
        <f t="shared" si="20"/>
        <v>0</v>
      </c>
      <c r="U41" s="29">
        <f t="shared" si="21"/>
        <v>-0.05999999999999997</v>
      </c>
      <c r="V41" s="14">
        <f t="shared" si="1"/>
        <v>7.94</v>
      </c>
      <c r="W41" s="28">
        <v>4</v>
      </c>
      <c r="X41" s="57"/>
      <c r="Y41" s="14">
        <f t="shared" si="22"/>
        <v>0</v>
      </c>
      <c r="Z41" s="14">
        <f t="shared" si="23"/>
        <v>0</v>
      </c>
      <c r="AA41" s="14">
        <f t="shared" si="24"/>
        <v>0</v>
      </c>
      <c r="AB41" s="29">
        <f t="shared" si="25"/>
        <v>-0.07999999999999999</v>
      </c>
      <c r="AC41" s="14">
        <f t="shared" si="2"/>
        <v>7.92</v>
      </c>
      <c r="AD41" s="28">
        <v>13.6</v>
      </c>
      <c r="AE41" s="57"/>
      <c r="AF41" s="14">
        <f t="shared" si="26"/>
        <v>0</v>
      </c>
      <c r="AG41" s="14">
        <f t="shared" si="27"/>
        <v>0</v>
      </c>
      <c r="AH41" s="14">
        <f t="shared" si="28"/>
        <v>0</v>
      </c>
      <c r="AI41" s="29">
        <f t="shared" si="29"/>
        <v>-0.2799999999999999</v>
      </c>
      <c r="AJ41" s="14">
        <f t="shared" si="3"/>
        <v>7.72</v>
      </c>
      <c r="AK41" s="34">
        <v>2</v>
      </c>
      <c r="AL41" s="34">
        <v>2</v>
      </c>
      <c r="AM41" s="34">
        <v>2</v>
      </c>
      <c r="AN41" s="34">
        <v>2</v>
      </c>
      <c r="AO41" s="57"/>
      <c r="AP41" s="14">
        <f t="shared" si="30"/>
        <v>8</v>
      </c>
      <c r="AQ41" s="34">
        <v>47</v>
      </c>
      <c r="AR41" s="50">
        <v>1</v>
      </c>
      <c r="AS41" s="49">
        <f t="shared" si="31"/>
        <v>0</v>
      </c>
      <c r="AT41" s="34">
        <v>3</v>
      </c>
      <c r="AU41" s="34">
        <v>2</v>
      </c>
      <c r="AV41" s="34">
        <v>2</v>
      </c>
      <c r="AW41" s="57">
        <v>1</v>
      </c>
      <c r="AX41" s="14">
        <f t="shared" si="32"/>
        <v>0</v>
      </c>
      <c r="AY41" s="57"/>
      <c r="AZ41" s="57"/>
      <c r="BA41" s="57"/>
      <c r="BB41" s="57"/>
      <c r="BC41" s="29">
        <f t="shared" si="33"/>
        <v>0</v>
      </c>
      <c r="BD41" s="57"/>
      <c r="BE41" s="15">
        <v>0.19375</v>
      </c>
      <c r="BF41" s="49">
        <f t="shared" si="34"/>
        <v>42.58</v>
      </c>
      <c r="BG41" s="34">
        <v>0</v>
      </c>
      <c r="BH41" s="39">
        <f t="shared" si="35"/>
        <v>42.58</v>
      </c>
      <c r="BI41" s="64"/>
      <c r="BM41" s="14">
        <f t="shared" si="4"/>
        <v>3.799999999999997</v>
      </c>
      <c r="BN41" s="14">
        <f t="shared" si="36"/>
        <v>3</v>
      </c>
      <c r="BO41" s="14">
        <f t="shared" si="37"/>
        <v>0.7999999999999972</v>
      </c>
      <c r="BP41" s="14">
        <f t="shared" si="5"/>
        <v>0</v>
      </c>
      <c r="BR41" s="14">
        <f t="shared" si="6"/>
        <v>0.5999999999999996</v>
      </c>
      <c r="BS41" s="14">
        <f t="shared" si="38"/>
        <v>0</v>
      </c>
      <c r="BT41" s="14">
        <f t="shared" si="39"/>
        <v>0.5999999999999996</v>
      </c>
      <c r="BU41" s="14">
        <f t="shared" si="7"/>
        <v>1</v>
      </c>
      <c r="BW41" s="14">
        <f t="shared" si="8"/>
        <v>0.7999999999999998</v>
      </c>
      <c r="BX41" s="14">
        <f t="shared" si="40"/>
        <v>0</v>
      </c>
      <c r="BY41" s="14">
        <f t="shared" si="41"/>
        <v>0.7999999999999998</v>
      </c>
      <c r="BZ41" s="14">
        <f t="shared" si="9"/>
        <v>1</v>
      </c>
      <c r="CB41" s="14">
        <f t="shared" si="10"/>
        <v>2.799999999999999</v>
      </c>
      <c r="CC41" s="14">
        <f t="shared" si="42"/>
        <v>2</v>
      </c>
      <c r="CD41" s="14">
        <f t="shared" si="43"/>
        <v>0.7999999999999989</v>
      </c>
      <c r="CE41" s="14">
        <f t="shared" si="11"/>
        <v>1</v>
      </c>
    </row>
    <row r="42" spans="1:83" ht="12.75">
      <c r="A42" s="34">
        <v>33</v>
      </c>
      <c r="B42" s="54" t="str">
        <f>IF(A42="","",VLOOKUP(A42,Жеребьевка!$A$6:$C$45,2,0))</f>
        <v>Панин Сергей Эдуардович</v>
      </c>
      <c r="C42" s="34">
        <v>1</v>
      </c>
      <c r="D42" s="34">
        <v>1</v>
      </c>
      <c r="E42" s="14">
        <f t="shared" si="12"/>
        <v>3</v>
      </c>
      <c r="F42" s="28">
        <v>37.5</v>
      </c>
      <c r="G42" s="57"/>
      <c r="H42" s="14">
        <f t="shared" si="13"/>
        <v>0</v>
      </c>
      <c r="I42" s="14">
        <f t="shared" si="14"/>
        <v>0</v>
      </c>
      <c r="J42" s="14">
        <f t="shared" si="15"/>
        <v>0</v>
      </c>
      <c r="K42" s="29">
        <f t="shared" si="16"/>
        <v>-0.15000000000000002</v>
      </c>
      <c r="L42" s="14">
        <f t="shared" si="0"/>
        <v>7.85</v>
      </c>
      <c r="M42" s="34">
        <v>5</v>
      </c>
      <c r="N42" s="57"/>
      <c r="O42" s="14">
        <f t="shared" si="17"/>
        <v>10</v>
      </c>
      <c r="P42" s="28">
        <v>7.8</v>
      </c>
      <c r="Q42" s="57"/>
      <c r="R42" s="14">
        <f t="shared" si="18"/>
        <v>0</v>
      </c>
      <c r="S42" s="14">
        <f t="shared" si="19"/>
        <v>0</v>
      </c>
      <c r="T42" s="14">
        <f t="shared" si="20"/>
        <v>0</v>
      </c>
      <c r="U42" s="29">
        <f t="shared" si="21"/>
        <v>-0.12000000000000002</v>
      </c>
      <c r="V42" s="14">
        <f t="shared" si="1"/>
        <v>7.88</v>
      </c>
      <c r="W42" s="28">
        <v>4.7</v>
      </c>
      <c r="X42" s="57"/>
      <c r="Y42" s="14">
        <f t="shared" si="22"/>
        <v>0</v>
      </c>
      <c r="Z42" s="14">
        <f t="shared" si="23"/>
        <v>0</v>
      </c>
      <c r="AA42" s="14">
        <f t="shared" si="24"/>
        <v>0</v>
      </c>
      <c r="AB42" s="29">
        <f t="shared" si="25"/>
        <v>-0.009999999999999966</v>
      </c>
      <c r="AC42" s="14">
        <f t="shared" si="2"/>
        <v>7.99</v>
      </c>
      <c r="AD42" s="28">
        <v>12.1</v>
      </c>
      <c r="AE42" s="57"/>
      <c r="AF42" s="14">
        <f t="shared" si="26"/>
        <v>0</v>
      </c>
      <c r="AG42" s="14">
        <f t="shared" si="27"/>
        <v>0</v>
      </c>
      <c r="AH42" s="14">
        <f t="shared" si="28"/>
        <v>0</v>
      </c>
      <c r="AI42" s="29">
        <f t="shared" si="29"/>
        <v>-0.1299999999999999</v>
      </c>
      <c r="AJ42" s="14">
        <f t="shared" si="3"/>
        <v>7.87</v>
      </c>
      <c r="AK42" s="34">
        <v>1</v>
      </c>
      <c r="AL42" s="34">
        <v>2</v>
      </c>
      <c r="AM42" s="34">
        <v>2</v>
      </c>
      <c r="AN42" s="34">
        <v>2</v>
      </c>
      <c r="AO42" s="57"/>
      <c r="AP42" s="14">
        <f t="shared" si="30"/>
        <v>7</v>
      </c>
      <c r="AQ42" s="34">
        <v>38</v>
      </c>
      <c r="AR42" s="50"/>
      <c r="AS42" s="49">
        <f t="shared" si="31"/>
        <v>12</v>
      </c>
      <c r="AT42" s="34">
        <v>3</v>
      </c>
      <c r="AU42" s="34">
        <v>2</v>
      </c>
      <c r="AV42" s="34">
        <v>2</v>
      </c>
      <c r="AW42" s="57"/>
      <c r="AX42" s="14">
        <f t="shared" si="32"/>
        <v>10</v>
      </c>
      <c r="AY42" s="57"/>
      <c r="AZ42" s="57"/>
      <c r="BA42" s="57"/>
      <c r="BB42" s="57"/>
      <c r="BC42" s="29">
        <f t="shared" si="33"/>
        <v>0</v>
      </c>
      <c r="BD42" s="57"/>
      <c r="BE42" s="15">
        <v>0.18333333333333335</v>
      </c>
      <c r="BF42" s="49">
        <f t="shared" si="34"/>
        <v>73.59</v>
      </c>
      <c r="BG42" s="34">
        <v>0</v>
      </c>
      <c r="BH42" s="39">
        <f t="shared" si="35"/>
        <v>73.59</v>
      </c>
      <c r="BI42" s="64"/>
      <c r="BM42" s="14">
        <f t="shared" si="4"/>
        <v>1.5</v>
      </c>
      <c r="BN42" s="14">
        <f t="shared" si="36"/>
        <v>1</v>
      </c>
      <c r="BO42" s="14">
        <f t="shared" si="37"/>
        <v>0.5</v>
      </c>
      <c r="BP42" s="14">
        <f t="shared" si="5"/>
        <v>1</v>
      </c>
      <c r="BR42" s="14">
        <f t="shared" si="6"/>
        <v>1.2000000000000002</v>
      </c>
      <c r="BS42" s="14">
        <f t="shared" si="38"/>
        <v>1</v>
      </c>
      <c r="BT42" s="14">
        <f t="shared" si="39"/>
        <v>0.20000000000000018</v>
      </c>
      <c r="BU42" s="14">
        <f t="shared" si="7"/>
        <v>1</v>
      </c>
      <c r="BW42" s="14">
        <f t="shared" si="8"/>
        <v>0.09999999999999964</v>
      </c>
      <c r="BX42" s="14">
        <f t="shared" si="40"/>
        <v>0</v>
      </c>
      <c r="BY42" s="14">
        <f t="shared" si="41"/>
        <v>0.09999999999999964</v>
      </c>
      <c r="BZ42" s="14">
        <f t="shared" si="9"/>
        <v>1</v>
      </c>
      <c r="CB42" s="14">
        <f t="shared" si="10"/>
        <v>1.299999999999999</v>
      </c>
      <c r="CC42" s="14">
        <f t="shared" si="42"/>
        <v>1</v>
      </c>
      <c r="CD42" s="14">
        <f t="shared" si="43"/>
        <v>0.29999999999999893</v>
      </c>
      <c r="CE42" s="14">
        <f t="shared" si="11"/>
        <v>1</v>
      </c>
    </row>
    <row r="43" spans="1:83" ht="12.75">
      <c r="A43" s="34">
        <v>34</v>
      </c>
      <c r="B43" s="54" t="str">
        <f>IF(A43="","",VLOOKUP(A43,Жеребьевка!$A$6:$C$45,2,0))</f>
        <v>Шучалова Татьяна Владимировна</v>
      </c>
      <c r="C43" s="34">
        <v>1</v>
      </c>
      <c r="D43" s="34">
        <v>0</v>
      </c>
      <c r="E43" s="14">
        <f t="shared" si="12"/>
        <v>1</v>
      </c>
      <c r="F43" s="28">
        <v>36</v>
      </c>
      <c r="G43" s="57"/>
      <c r="H43" s="14">
        <f t="shared" si="13"/>
        <v>8</v>
      </c>
      <c r="I43" s="14">
        <f t="shared" si="14"/>
        <v>0</v>
      </c>
      <c r="J43" s="14">
        <f t="shared" si="15"/>
        <v>0</v>
      </c>
      <c r="K43" s="29">
        <f t="shared" si="16"/>
        <v>0</v>
      </c>
      <c r="L43" s="14">
        <f t="shared" si="0"/>
        <v>8</v>
      </c>
      <c r="M43" s="34">
        <v>4</v>
      </c>
      <c r="N43" s="57"/>
      <c r="O43" s="14">
        <f t="shared" si="17"/>
        <v>8</v>
      </c>
      <c r="P43" s="28">
        <v>7.4</v>
      </c>
      <c r="Q43" s="57"/>
      <c r="R43" s="14">
        <f t="shared" si="18"/>
        <v>0</v>
      </c>
      <c r="S43" s="14">
        <f t="shared" si="19"/>
        <v>0</v>
      </c>
      <c r="T43" s="14">
        <f t="shared" si="20"/>
        <v>0</v>
      </c>
      <c r="U43" s="29">
        <f t="shared" si="21"/>
        <v>-0.15999999999999998</v>
      </c>
      <c r="V43" s="14">
        <f t="shared" si="1"/>
        <v>7.84</v>
      </c>
      <c r="W43" s="28">
        <v>4.1</v>
      </c>
      <c r="X43" s="57"/>
      <c r="Y43" s="14">
        <f t="shared" si="22"/>
        <v>0</v>
      </c>
      <c r="Z43" s="14">
        <f t="shared" si="23"/>
        <v>0</v>
      </c>
      <c r="AA43" s="14">
        <f t="shared" si="24"/>
        <v>0</v>
      </c>
      <c r="AB43" s="29">
        <f t="shared" si="25"/>
        <v>-0.07000000000000002</v>
      </c>
      <c r="AC43" s="14">
        <f t="shared" si="2"/>
        <v>7.93</v>
      </c>
      <c r="AD43" s="28">
        <v>13.7</v>
      </c>
      <c r="AE43" s="57"/>
      <c r="AF43" s="14">
        <f t="shared" si="26"/>
        <v>0</v>
      </c>
      <c r="AG43" s="14">
        <f t="shared" si="27"/>
        <v>0</v>
      </c>
      <c r="AH43" s="14">
        <f t="shared" si="28"/>
        <v>0</v>
      </c>
      <c r="AI43" s="29">
        <f t="shared" si="29"/>
        <v>-0.28999999999999987</v>
      </c>
      <c r="AJ43" s="14">
        <f t="shared" si="3"/>
        <v>7.71</v>
      </c>
      <c r="AK43" s="34">
        <v>2</v>
      </c>
      <c r="AL43" s="34">
        <v>2</v>
      </c>
      <c r="AM43" s="34">
        <v>2</v>
      </c>
      <c r="AN43" s="34">
        <v>2</v>
      </c>
      <c r="AO43" s="57"/>
      <c r="AP43" s="14">
        <f t="shared" si="30"/>
        <v>8</v>
      </c>
      <c r="AQ43" s="34">
        <v>49</v>
      </c>
      <c r="AR43" s="50">
        <v>1</v>
      </c>
      <c r="AS43" s="49">
        <f t="shared" si="31"/>
        <v>0</v>
      </c>
      <c r="AT43" s="34">
        <v>3</v>
      </c>
      <c r="AU43" s="34">
        <v>2</v>
      </c>
      <c r="AV43" s="34">
        <v>2</v>
      </c>
      <c r="AW43" s="57">
        <v>1</v>
      </c>
      <c r="AX43" s="14">
        <f t="shared" si="32"/>
        <v>0</v>
      </c>
      <c r="AY43" s="57"/>
      <c r="AZ43" s="57"/>
      <c r="BA43" s="57"/>
      <c r="BB43" s="57"/>
      <c r="BC43" s="29">
        <f t="shared" si="33"/>
        <v>0</v>
      </c>
      <c r="BD43" s="57"/>
      <c r="BE43" s="15">
        <v>0.19930555555555554</v>
      </c>
      <c r="BF43" s="49">
        <f t="shared" si="34"/>
        <v>48.48</v>
      </c>
      <c r="BG43" s="34">
        <v>0</v>
      </c>
      <c r="BH43" s="39">
        <f t="shared" si="35"/>
        <v>48.48</v>
      </c>
      <c r="BI43" s="64"/>
      <c r="BM43" s="14">
        <f t="shared" si="4"/>
        <v>0</v>
      </c>
      <c r="BN43" s="14">
        <f t="shared" si="36"/>
        <v>0</v>
      </c>
      <c r="BO43" s="14">
        <f t="shared" si="37"/>
        <v>0</v>
      </c>
      <c r="BP43" s="14">
        <f t="shared" si="5"/>
        <v>1</v>
      </c>
      <c r="BR43" s="14">
        <f t="shared" si="6"/>
        <v>1.5999999999999996</v>
      </c>
      <c r="BS43" s="14">
        <f t="shared" si="38"/>
        <v>1</v>
      </c>
      <c r="BT43" s="14">
        <f t="shared" si="39"/>
        <v>0.5999999999999996</v>
      </c>
      <c r="BU43" s="14">
        <f t="shared" si="7"/>
        <v>1</v>
      </c>
      <c r="BW43" s="14">
        <f t="shared" si="8"/>
        <v>0.7000000000000002</v>
      </c>
      <c r="BX43" s="14">
        <f t="shared" si="40"/>
        <v>0</v>
      </c>
      <c r="BY43" s="14">
        <f t="shared" si="41"/>
        <v>0.7000000000000002</v>
      </c>
      <c r="BZ43" s="14">
        <f t="shared" si="9"/>
        <v>1</v>
      </c>
      <c r="CB43" s="14">
        <f t="shared" si="10"/>
        <v>2.8999999999999986</v>
      </c>
      <c r="CC43" s="14">
        <f t="shared" si="42"/>
        <v>2</v>
      </c>
      <c r="CD43" s="14">
        <f t="shared" si="43"/>
        <v>0.8999999999999986</v>
      </c>
      <c r="CE43" s="14">
        <f t="shared" si="11"/>
        <v>1</v>
      </c>
    </row>
    <row r="44" spans="1:83" ht="12.75">
      <c r="A44" s="34">
        <v>35</v>
      </c>
      <c r="B44" s="54" t="str">
        <f>IF(A44="","",VLOOKUP(A44,Жеребьевка!$A$6:$C$45,2,0))</f>
        <v>Гнусов Павел Михайлович</v>
      </c>
      <c r="C44" s="34">
        <v>1</v>
      </c>
      <c r="D44" s="34">
        <v>1</v>
      </c>
      <c r="E44" s="14">
        <f t="shared" si="12"/>
        <v>3</v>
      </c>
      <c r="F44" s="28">
        <v>36.6</v>
      </c>
      <c r="G44" s="57"/>
      <c r="H44" s="14">
        <f t="shared" si="13"/>
        <v>0</v>
      </c>
      <c r="I44" s="14">
        <f t="shared" si="14"/>
        <v>0</v>
      </c>
      <c r="J44" s="14">
        <f t="shared" si="15"/>
        <v>0</v>
      </c>
      <c r="K44" s="29">
        <f t="shared" si="16"/>
        <v>-0.060000000000000143</v>
      </c>
      <c r="L44" s="14">
        <f t="shared" si="0"/>
        <v>7.9399999999999995</v>
      </c>
      <c r="M44" s="34">
        <v>5</v>
      </c>
      <c r="N44" s="57"/>
      <c r="O44" s="14">
        <f t="shared" si="17"/>
        <v>10</v>
      </c>
      <c r="P44" s="28">
        <v>8.2</v>
      </c>
      <c r="Q44" s="57"/>
      <c r="R44" s="14">
        <f t="shared" si="18"/>
        <v>0</v>
      </c>
      <c r="S44" s="14">
        <f t="shared" si="19"/>
        <v>0</v>
      </c>
      <c r="T44" s="14">
        <f t="shared" si="20"/>
        <v>0</v>
      </c>
      <c r="U44" s="29">
        <f t="shared" si="21"/>
        <v>-0.08000000000000007</v>
      </c>
      <c r="V44" s="14">
        <f t="shared" si="1"/>
        <v>7.92</v>
      </c>
      <c r="W44" s="28">
        <v>4.2</v>
      </c>
      <c r="X44" s="57"/>
      <c r="Y44" s="14">
        <f t="shared" si="22"/>
        <v>0</v>
      </c>
      <c r="Z44" s="14">
        <f t="shared" si="23"/>
        <v>0</v>
      </c>
      <c r="AA44" s="14">
        <f t="shared" si="24"/>
        <v>0</v>
      </c>
      <c r="AB44" s="29">
        <f t="shared" si="25"/>
        <v>-0.05999999999999997</v>
      </c>
      <c r="AC44" s="14">
        <f t="shared" si="2"/>
        <v>7.94</v>
      </c>
      <c r="AD44" s="28">
        <v>10.6</v>
      </c>
      <c r="AE44" s="57"/>
      <c r="AF44" s="14">
        <f t="shared" si="26"/>
        <v>0</v>
      </c>
      <c r="AG44" s="14">
        <f t="shared" si="27"/>
        <v>0</v>
      </c>
      <c r="AH44" s="14">
        <f t="shared" si="28"/>
        <v>0</v>
      </c>
      <c r="AI44" s="29">
        <f t="shared" si="29"/>
        <v>-0.020000000000000108</v>
      </c>
      <c r="AJ44" s="14">
        <f t="shared" si="3"/>
        <v>7.9799999999999995</v>
      </c>
      <c r="AK44" s="34">
        <v>2</v>
      </c>
      <c r="AL44" s="34">
        <v>2</v>
      </c>
      <c r="AM44" s="34">
        <v>2</v>
      </c>
      <c r="AN44" s="34">
        <v>2</v>
      </c>
      <c r="AO44" s="57"/>
      <c r="AP44" s="14">
        <f t="shared" si="30"/>
        <v>8</v>
      </c>
      <c r="AQ44" s="34">
        <v>36</v>
      </c>
      <c r="AR44" s="50"/>
      <c r="AS44" s="49">
        <f t="shared" si="31"/>
        <v>0</v>
      </c>
      <c r="AT44" s="34">
        <v>3</v>
      </c>
      <c r="AU44" s="34">
        <v>2</v>
      </c>
      <c r="AV44" s="34">
        <v>2</v>
      </c>
      <c r="AW44" s="57"/>
      <c r="AX44" s="14">
        <f t="shared" si="32"/>
        <v>10</v>
      </c>
      <c r="AY44" s="57"/>
      <c r="AZ44" s="57"/>
      <c r="BA44" s="57"/>
      <c r="BB44" s="57"/>
      <c r="BC44" s="29">
        <f t="shared" si="33"/>
        <v>0</v>
      </c>
      <c r="BD44" s="57"/>
      <c r="BE44" s="15">
        <v>0.2027777777777778</v>
      </c>
      <c r="BF44" s="49">
        <f t="shared" si="34"/>
        <v>62.779999999999994</v>
      </c>
      <c r="BG44" s="34">
        <v>0</v>
      </c>
      <c r="BH44" s="39">
        <f t="shared" si="35"/>
        <v>62.779999999999994</v>
      </c>
      <c r="BI44" s="64"/>
      <c r="BM44" s="14">
        <f t="shared" si="4"/>
        <v>0.6000000000000014</v>
      </c>
      <c r="BN44" s="14">
        <f t="shared" si="36"/>
        <v>0</v>
      </c>
      <c r="BO44" s="14">
        <f t="shared" si="37"/>
        <v>0.6000000000000014</v>
      </c>
      <c r="BP44" s="14">
        <f t="shared" si="5"/>
        <v>1</v>
      </c>
      <c r="BR44" s="14">
        <f t="shared" si="6"/>
        <v>0.8000000000000007</v>
      </c>
      <c r="BS44" s="14">
        <f t="shared" si="38"/>
        <v>0</v>
      </c>
      <c r="BT44" s="14">
        <f t="shared" si="39"/>
        <v>0.8000000000000007</v>
      </c>
      <c r="BU44" s="14">
        <f t="shared" si="7"/>
        <v>1</v>
      </c>
      <c r="BW44" s="14">
        <f t="shared" si="8"/>
        <v>0.5999999999999996</v>
      </c>
      <c r="BX44" s="14">
        <f t="shared" si="40"/>
        <v>0</v>
      </c>
      <c r="BY44" s="14">
        <f t="shared" si="41"/>
        <v>0.5999999999999996</v>
      </c>
      <c r="BZ44" s="14">
        <f t="shared" si="9"/>
        <v>1</v>
      </c>
      <c r="CB44" s="14">
        <f t="shared" si="10"/>
        <v>0.20000000000000107</v>
      </c>
      <c r="CC44" s="14">
        <f t="shared" si="42"/>
        <v>0</v>
      </c>
      <c r="CD44" s="14">
        <f t="shared" si="43"/>
        <v>0.20000000000000107</v>
      </c>
      <c r="CE44" s="14">
        <f t="shared" si="11"/>
        <v>1</v>
      </c>
    </row>
    <row r="45" spans="1:83" ht="12.75">
      <c r="A45" s="34">
        <v>36</v>
      </c>
      <c r="B45" s="54" t="str">
        <f>IF(A45="","",VLOOKUP(A45,Жеребьевка!$A$6:$C$45,2,0))</f>
        <v>Гайнутдинова Асия Фаридовна</v>
      </c>
      <c r="C45" s="34">
        <v>1</v>
      </c>
      <c r="D45" s="34">
        <v>0</v>
      </c>
      <c r="E45" s="14">
        <f t="shared" si="12"/>
        <v>1</v>
      </c>
      <c r="F45" s="28">
        <v>35.5</v>
      </c>
      <c r="G45" s="57"/>
      <c r="H45" s="14">
        <f t="shared" si="13"/>
        <v>0</v>
      </c>
      <c r="I45" s="14">
        <f t="shared" si="14"/>
        <v>0</v>
      </c>
      <c r="J45" s="14">
        <f t="shared" si="15"/>
        <v>0</v>
      </c>
      <c r="K45" s="29">
        <f t="shared" si="16"/>
        <v>-0.05</v>
      </c>
      <c r="L45" s="14">
        <f t="shared" si="0"/>
        <v>7.95</v>
      </c>
      <c r="M45" s="34">
        <v>5</v>
      </c>
      <c r="N45" s="57"/>
      <c r="O45" s="14">
        <f t="shared" si="17"/>
        <v>10</v>
      </c>
      <c r="P45" s="28">
        <v>6.4</v>
      </c>
      <c r="Q45" s="57"/>
      <c r="R45" s="14">
        <f t="shared" si="18"/>
        <v>0</v>
      </c>
      <c r="S45" s="14">
        <f t="shared" si="19"/>
        <v>0</v>
      </c>
      <c r="T45" s="14">
        <f t="shared" si="20"/>
        <v>0</v>
      </c>
      <c r="U45" s="29">
        <f t="shared" si="21"/>
        <v>-0.26</v>
      </c>
      <c r="V45" s="14">
        <f t="shared" si="1"/>
        <v>7.74</v>
      </c>
      <c r="W45" s="28">
        <v>4.1</v>
      </c>
      <c r="X45" s="57"/>
      <c r="Y45" s="14">
        <f t="shared" si="22"/>
        <v>0</v>
      </c>
      <c r="Z45" s="14">
        <f t="shared" si="23"/>
        <v>0</v>
      </c>
      <c r="AA45" s="14">
        <f t="shared" si="24"/>
        <v>0</v>
      </c>
      <c r="AB45" s="29">
        <f t="shared" si="25"/>
        <v>-0.07000000000000002</v>
      </c>
      <c r="AC45" s="14">
        <f t="shared" si="2"/>
        <v>7.93</v>
      </c>
      <c r="AD45" s="28">
        <v>9.2</v>
      </c>
      <c r="AE45" s="57"/>
      <c r="AF45" s="14">
        <f t="shared" si="26"/>
        <v>0</v>
      </c>
      <c r="AG45" s="14">
        <f t="shared" si="27"/>
        <v>0</v>
      </c>
      <c r="AH45" s="14">
        <f t="shared" si="28"/>
        <v>0</v>
      </c>
      <c r="AI45" s="29">
        <f t="shared" si="29"/>
        <v>-0.16000000000000014</v>
      </c>
      <c r="AJ45" s="14">
        <f t="shared" si="3"/>
        <v>7.84</v>
      </c>
      <c r="AK45" s="34">
        <v>1</v>
      </c>
      <c r="AL45" s="34">
        <v>2</v>
      </c>
      <c r="AM45" s="34">
        <v>2</v>
      </c>
      <c r="AN45" s="34">
        <v>0</v>
      </c>
      <c r="AO45" s="57"/>
      <c r="AP45" s="14">
        <f t="shared" si="30"/>
        <v>5</v>
      </c>
      <c r="AQ45" s="34">
        <v>34</v>
      </c>
      <c r="AR45" s="50"/>
      <c r="AS45" s="49">
        <f t="shared" si="31"/>
        <v>0</v>
      </c>
      <c r="AT45" s="34">
        <v>3</v>
      </c>
      <c r="AU45" s="34">
        <v>2</v>
      </c>
      <c r="AV45" s="34">
        <v>2</v>
      </c>
      <c r="AW45" s="57"/>
      <c r="AX45" s="14">
        <f t="shared" si="32"/>
        <v>10</v>
      </c>
      <c r="AY45" s="57"/>
      <c r="AZ45" s="57"/>
      <c r="BA45" s="57"/>
      <c r="BB45" s="57"/>
      <c r="BC45" s="29">
        <f t="shared" si="33"/>
        <v>0</v>
      </c>
      <c r="BD45" s="57"/>
      <c r="BE45" s="15">
        <v>0.1763888888888889</v>
      </c>
      <c r="BF45" s="49">
        <f t="shared" si="34"/>
        <v>57.459999999999994</v>
      </c>
      <c r="BG45" s="34">
        <v>0</v>
      </c>
      <c r="BH45" s="39">
        <f t="shared" si="35"/>
        <v>57.459999999999994</v>
      </c>
      <c r="BI45" s="64"/>
      <c r="BM45" s="14">
        <f t="shared" si="4"/>
        <v>0.5</v>
      </c>
      <c r="BN45" s="14">
        <f t="shared" si="36"/>
        <v>0</v>
      </c>
      <c r="BO45" s="14">
        <f t="shared" si="37"/>
        <v>0.5</v>
      </c>
      <c r="BP45" s="14">
        <f t="shared" si="5"/>
        <v>1</v>
      </c>
      <c r="BR45" s="14">
        <f t="shared" si="6"/>
        <v>2.5999999999999996</v>
      </c>
      <c r="BS45" s="14">
        <f t="shared" si="38"/>
        <v>2</v>
      </c>
      <c r="BT45" s="14">
        <f t="shared" si="39"/>
        <v>0.5999999999999996</v>
      </c>
      <c r="BU45" s="14">
        <f t="shared" si="7"/>
        <v>1</v>
      </c>
      <c r="BW45" s="14">
        <f t="shared" si="8"/>
        <v>0.7000000000000002</v>
      </c>
      <c r="BX45" s="14">
        <f t="shared" si="40"/>
        <v>0</v>
      </c>
      <c r="BY45" s="14">
        <f t="shared" si="41"/>
        <v>0.7000000000000002</v>
      </c>
      <c r="BZ45" s="14">
        <f t="shared" si="9"/>
        <v>1</v>
      </c>
      <c r="CB45" s="14">
        <f t="shared" si="10"/>
        <v>1.6000000000000014</v>
      </c>
      <c r="CC45" s="14">
        <f t="shared" si="42"/>
        <v>1</v>
      </c>
      <c r="CD45" s="14">
        <f t="shared" si="43"/>
        <v>0.6000000000000014</v>
      </c>
      <c r="CE45" s="14">
        <f t="shared" si="11"/>
        <v>1</v>
      </c>
    </row>
  </sheetData>
  <sheetProtection password="C61B" sheet="1"/>
  <mergeCells count="24">
    <mergeCell ref="F8:L8"/>
    <mergeCell ref="M8:O8"/>
    <mergeCell ref="P8:V8"/>
    <mergeCell ref="W8:AC8"/>
    <mergeCell ref="AD8:AJ8"/>
    <mergeCell ref="AK8:AP8"/>
    <mergeCell ref="BW9:BZ9"/>
    <mergeCell ref="CB9:CE9"/>
    <mergeCell ref="AQ8:AS8"/>
    <mergeCell ref="AT8:AX8"/>
    <mergeCell ref="AY8:BC8"/>
    <mergeCell ref="BD8:BD9"/>
    <mergeCell ref="BE8:BE9"/>
    <mergeCell ref="BF8:BF9"/>
    <mergeCell ref="A3:BH3"/>
    <mergeCell ref="A5:BH5"/>
    <mergeCell ref="BG8:BG9"/>
    <mergeCell ref="BH8:BH9"/>
    <mergeCell ref="BM9:BP9"/>
    <mergeCell ref="BR9:BU9"/>
    <mergeCell ref="A7:A9"/>
    <mergeCell ref="B7:B9"/>
    <mergeCell ref="C7:BH7"/>
    <mergeCell ref="C8:E8"/>
  </mergeCells>
  <printOptions/>
  <pageMargins left="0.35433070866141736" right="0.1968503937007874" top="0.1968503937007874" bottom="0.1968503937007874" header="0" footer="0"/>
  <pageSetup fitToWidth="4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E45"/>
  <sheetViews>
    <sheetView zoomScalePageLayoutView="0" workbookViewId="0" topLeftCell="A1">
      <selection activeCell="AP39" sqref="AP39"/>
    </sheetView>
  </sheetViews>
  <sheetFormatPr defaultColWidth="9.140625" defaultRowHeight="15"/>
  <cols>
    <col min="1" max="1" width="4.8515625" style="33" customWidth="1"/>
    <col min="2" max="2" width="34.7109375" style="33" customWidth="1"/>
    <col min="3" max="7" width="6.421875" style="33" customWidth="1"/>
    <col min="8" max="10" width="6.421875" style="33" hidden="1" customWidth="1"/>
    <col min="11" max="12" width="6.421875" style="33" customWidth="1"/>
    <col min="13" max="13" width="13.00390625" style="33" hidden="1" customWidth="1"/>
    <col min="14" max="14" width="6.421875" style="33" hidden="1" customWidth="1"/>
    <col min="15" max="15" width="9.140625" style="33" customWidth="1"/>
    <col min="16" max="17" width="6.421875" style="33" customWidth="1"/>
    <col min="18" max="20" width="6.421875" style="33" hidden="1" customWidth="1"/>
    <col min="21" max="23" width="6.421875" style="33" customWidth="1"/>
    <col min="24" max="27" width="6.421875" style="33" hidden="1" customWidth="1"/>
    <col min="28" max="30" width="6.421875" style="33" customWidth="1"/>
    <col min="31" max="34" width="6.421875" style="33" hidden="1" customWidth="1"/>
    <col min="35" max="36" width="6.421875" style="33" customWidth="1"/>
    <col min="37" max="37" width="8.00390625" style="33" customWidth="1"/>
    <col min="38" max="40" width="6.421875" style="33" customWidth="1"/>
    <col min="41" max="41" width="6.421875" style="33" hidden="1" customWidth="1"/>
    <col min="42" max="42" width="6.421875" style="33" customWidth="1"/>
    <col min="43" max="43" width="9.140625" style="33" hidden="1" customWidth="1"/>
    <col min="44" max="44" width="14.57421875" style="33" hidden="1" customWidth="1"/>
    <col min="45" max="45" width="6.421875" style="33" hidden="1" customWidth="1"/>
    <col min="46" max="48" width="7.140625" style="33" customWidth="1"/>
    <col min="49" max="50" width="6.421875" style="33" customWidth="1"/>
    <col min="51" max="55" width="6.421875" style="33" hidden="1" customWidth="1"/>
    <col min="56" max="56" width="11.00390625" style="33" customWidth="1"/>
    <col min="57" max="58" width="9.421875" style="33" customWidth="1"/>
    <col min="59" max="59" width="8.00390625" style="33" customWidth="1"/>
    <col min="60" max="61" width="7.8515625" style="33" customWidth="1"/>
    <col min="62" max="63" width="9.140625" style="33" customWidth="1"/>
    <col min="64" max="64" width="4.8515625" style="33" customWidth="1"/>
    <col min="65" max="83" width="4.8515625" style="33" hidden="1" customWidth="1"/>
    <col min="84" max="104" width="9.140625" style="33" customWidth="1"/>
    <col min="105" max="16384" width="9.140625" style="33" customWidth="1"/>
  </cols>
  <sheetData>
    <row r="3" spans="1:60" ht="12.75">
      <c r="A3" s="92" t="s">
        <v>145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</row>
    <row r="5" spans="1:60" ht="12.75">
      <c r="A5" s="93" t="s">
        <v>153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</row>
    <row r="7" spans="1:61" ht="12.75" customHeight="1">
      <c r="A7" s="99" t="s">
        <v>0</v>
      </c>
      <c r="B7" s="100" t="s">
        <v>6</v>
      </c>
      <c r="C7" s="103" t="s">
        <v>36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58"/>
    </row>
    <row r="8" spans="1:63" ht="12.75" customHeight="1">
      <c r="A8" s="99"/>
      <c r="B8" s="101"/>
      <c r="C8" s="98" t="s">
        <v>37</v>
      </c>
      <c r="D8" s="98"/>
      <c r="E8" s="98"/>
      <c r="F8" s="98" t="s">
        <v>38</v>
      </c>
      <c r="G8" s="98"/>
      <c r="H8" s="98"/>
      <c r="I8" s="98"/>
      <c r="J8" s="98"/>
      <c r="K8" s="98"/>
      <c r="L8" s="98"/>
      <c r="M8" s="110" t="s">
        <v>39</v>
      </c>
      <c r="N8" s="111"/>
      <c r="O8" s="112"/>
      <c r="P8" s="98" t="s">
        <v>40</v>
      </c>
      <c r="Q8" s="98"/>
      <c r="R8" s="98"/>
      <c r="S8" s="98"/>
      <c r="T8" s="98"/>
      <c r="U8" s="98"/>
      <c r="V8" s="98"/>
      <c r="W8" s="98" t="s">
        <v>41</v>
      </c>
      <c r="X8" s="98"/>
      <c r="Y8" s="98"/>
      <c r="Z8" s="98"/>
      <c r="AA8" s="98"/>
      <c r="AB8" s="98"/>
      <c r="AC8" s="98"/>
      <c r="AD8" s="98" t="s">
        <v>42</v>
      </c>
      <c r="AE8" s="98"/>
      <c r="AF8" s="98"/>
      <c r="AG8" s="98"/>
      <c r="AH8" s="98"/>
      <c r="AI8" s="98"/>
      <c r="AJ8" s="98"/>
      <c r="AK8" s="104" t="s">
        <v>43</v>
      </c>
      <c r="AL8" s="105"/>
      <c r="AM8" s="105"/>
      <c r="AN8" s="105"/>
      <c r="AO8" s="105"/>
      <c r="AP8" s="106"/>
      <c r="AQ8" s="104" t="s">
        <v>44</v>
      </c>
      <c r="AR8" s="105"/>
      <c r="AS8" s="106"/>
      <c r="AT8" s="104" t="s">
        <v>78</v>
      </c>
      <c r="AU8" s="105"/>
      <c r="AV8" s="105"/>
      <c r="AW8" s="105"/>
      <c r="AX8" s="106"/>
      <c r="AY8" s="107" t="s">
        <v>46</v>
      </c>
      <c r="AZ8" s="107"/>
      <c r="BA8" s="107"/>
      <c r="BB8" s="107"/>
      <c r="BC8" s="107"/>
      <c r="BD8" s="108" t="s">
        <v>79</v>
      </c>
      <c r="BE8" s="94" t="s">
        <v>48</v>
      </c>
      <c r="BF8" s="94" t="s">
        <v>7</v>
      </c>
      <c r="BG8" s="94" t="s">
        <v>4</v>
      </c>
      <c r="BH8" s="96" t="s">
        <v>8</v>
      </c>
      <c r="BI8" s="61"/>
      <c r="BJ8" s="113" t="s">
        <v>80</v>
      </c>
      <c r="BK8" s="113"/>
    </row>
    <row r="9" spans="1:83" ht="12.75">
      <c r="A9" s="99"/>
      <c r="B9" s="102"/>
      <c r="C9" s="14" t="s">
        <v>49</v>
      </c>
      <c r="D9" s="14" t="s">
        <v>50</v>
      </c>
      <c r="E9" s="27" t="s">
        <v>7</v>
      </c>
      <c r="F9" s="34" t="s">
        <v>2</v>
      </c>
      <c r="G9" s="59" t="s">
        <v>51</v>
      </c>
      <c r="H9" s="34">
        <v>8</v>
      </c>
      <c r="I9" s="34">
        <v>33</v>
      </c>
      <c r="J9" s="34">
        <v>39</v>
      </c>
      <c r="K9" s="26" t="s">
        <v>52</v>
      </c>
      <c r="L9" s="27" t="s">
        <v>7</v>
      </c>
      <c r="M9" s="34" t="s">
        <v>53</v>
      </c>
      <c r="N9" s="59" t="s">
        <v>51</v>
      </c>
      <c r="O9" s="27" t="s">
        <v>7</v>
      </c>
      <c r="P9" s="34" t="s">
        <v>2</v>
      </c>
      <c r="Q9" s="59" t="s">
        <v>51</v>
      </c>
      <c r="R9" s="34">
        <v>9</v>
      </c>
      <c r="S9" s="34">
        <v>6</v>
      </c>
      <c r="T9" s="34">
        <v>12</v>
      </c>
      <c r="U9" s="26" t="s">
        <v>52</v>
      </c>
      <c r="V9" s="27" t="s">
        <v>7</v>
      </c>
      <c r="W9" s="14" t="s">
        <v>2</v>
      </c>
      <c r="X9" s="59" t="s">
        <v>51</v>
      </c>
      <c r="Y9" s="25">
        <v>4.8</v>
      </c>
      <c r="Z9" s="14">
        <v>1.8</v>
      </c>
      <c r="AA9" s="14">
        <v>7.8</v>
      </c>
      <c r="AB9" s="26" t="s">
        <v>52</v>
      </c>
      <c r="AC9" s="27" t="s">
        <v>7</v>
      </c>
      <c r="AD9" s="14" t="s">
        <v>2</v>
      </c>
      <c r="AE9" s="59" t="s">
        <v>51</v>
      </c>
      <c r="AF9" s="14">
        <v>10.8</v>
      </c>
      <c r="AG9" s="14">
        <v>7.8</v>
      </c>
      <c r="AH9" s="14">
        <v>13.8</v>
      </c>
      <c r="AI9" s="26" t="s">
        <v>52</v>
      </c>
      <c r="AJ9" s="27" t="s">
        <v>7</v>
      </c>
      <c r="AK9" s="14" t="s">
        <v>54</v>
      </c>
      <c r="AL9" s="14" t="s">
        <v>55</v>
      </c>
      <c r="AM9" s="14" t="s">
        <v>56</v>
      </c>
      <c r="AN9" s="14" t="s">
        <v>57</v>
      </c>
      <c r="AO9" s="26" t="s">
        <v>51</v>
      </c>
      <c r="AP9" s="27" t="s">
        <v>7</v>
      </c>
      <c r="AQ9" s="14" t="s">
        <v>58</v>
      </c>
      <c r="AR9" s="14"/>
      <c r="AS9" s="27" t="s">
        <v>7</v>
      </c>
      <c r="AT9" s="14" t="s">
        <v>54</v>
      </c>
      <c r="AU9" s="14" t="s">
        <v>60</v>
      </c>
      <c r="AV9" s="14" t="s">
        <v>61</v>
      </c>
      <c r="AW9" s="63" t="s">
        <v>51</v>
      </c>
      <c r="AX9" s="27" t="s">
        <v>7</v>
      </c>
      <c r="AY9" s="26" t="s">
        <v>62</v>
      </c>
      <c r="AZ9" s="26" t="s">
        <v>63</v>
      </c>
      <c r="BA9" s="26" t="s">
        <v>64</v>
      </c>
      <c r="BB9" s="26" t="s">
        <v>65</v>
      </c>
      <c r="BC9" s="26" t="s">
        <v>7</v>
      </c>
      <c r="BD9" s="109"/>
      <c r="BE9" s="95"/>
      <c r="BF9" s="95"/>
      <c r="BG9" s="95"/>
      <c r="BH9" s="97"/>
      <c r="BI9" s="61"/>
      <c r="BJ9" s="60" t="s">
        <v>3</v>
      </c>
      <c r="BK9" s="60" t="s">
        <v>4</v>
      </c>
      <c r="BM9" s="98">
        <v>2</v>
      </c>
      <c r="BN9" s="98"/>
      <c r="BO9" s="98"/>
      <c r="BP9" s="98"/>
      <c r="BR9" s="98">
        <v>4</v>
      </c>
      <c r="BS9" s="98"/>
      <c r="BT9" s="98"/>
      <c r="BU9" s="98"/>
      <c r="BW9" s="98">
        <v>5</v>
      </c>
      <c r="BX9" s="98"/>
      <c r="BY9" s="98"/>
      <c r="BZ9" s="98"/>
      <c r="CB9" s="98">
        <v>6</v>
      </c>
      <c r="CC9" s="98"/>
      <c r="CD9" s="98"/>
      <c r="CE9" s="98"/>
    </row>
    <row r="10" spans="1:83" ht="12.75" customHeight="1">
      <c r="A10" s="34">
        <v>1</v>
      </c>
      <c r="B10" s="54" t="str">
        <f>IF(A10="","",VLOOKUP(A10,Жеребьевка!$A$6:$C$45,2,0))</f>
        <v>Шибин Евгений Владимирович</v>
      </c>
      <c r="C10" s="34">
        <v>1</v>
      </c>
      <c r="D10" s="34">
        <v>0</v>
      </c>
      <c r="E10" s="14">
        <f>IF(C10=1,1,0)+IF(D10=1,2,0)</f>
        <v>1</v>
      </c>
      <c r="F10" s="28">
        <v>44.1</v>
      </c>
      <c r="G10" s="57"/>
      <c r="H10" s="14">
        <f>IF(F10=36,8,0)</f>
        <v>0</v>
      </c>
      <c r="I10" s="14">
        <f>IF(F10&lt;=33,1,0)</f>
        <v>0</v>
      </c>
      <c r="J10" s="14">
        <f>IF(F10&gt;=39,1,0)</f>
        <v>1</v>
      </c>
      <c r="K10" s="29">
        <f>IF(BP10=1,(BN10*0.1+BO10*0.1)*(-1),0)</f>
        <v>0</v>
      </c>
      <c r="L10" s="14">
        <f aca="true" t="shared" si="0" ref="L10:L45">IF(G10=1,(8+K10)*BP10*0,(8+K10)*BP10*1)</f>
        <v>0</v>
      </c>
      <c r="M10" s="34">
        <v>5</v>
      </c>
      <c r="N10" s="57"/>
      <c r="O10" s="14">
        <f>IF(N10=1,(M10*2)*0,M10*2)</f>
        <v>10</v>
      </c>
      <c r="P10" s="28">
        <v>8.2</v>
      </c>
      <c r="Q10" s="57"/>
      <c r="R10" s="14">
        <f>IF(P10=9,8,0)</f>
        <v>0</v>
      </c>
      <c r="S10" s="14">
        <f>IF(P10&lt;=6,1,0)</f>
        <v>0</v>
      </c>
      <c r="T10" s="14">
        <f>IF(P10&gt;=12,1,0)</f>
        <v>0</v>
      </c>
      <c r="U10" s="29">
        <f>IF(BU10=1,(BS10*0.1+BT10*0.1)*(-1),0)</f>
        <v>-0.08000000000000007</v>
      </c>
      <c r="V10" s="14">
        <f aca="true" t="shared" si="1" ref="V10:V45">IF(Q10=1,(8+U10)*BU10*0,(8+U10)*BU10*1)</f>
        <v>7.92</v>
      </c>
      <c r="W10" s="28">
        <v>4.3</v>
      </c>
      <c r="X10" s="57"/>
      <c r="Y10" s="14">
        <f>IF(W10=4.8,8,0)</f>
        <v>0</v>
      </c>
      <c r="Z10" s="14">
        <f>IF(W10&lt;=1.8,1,0)</f>
        <v>0</v>
      </c>
      <c r="AA10" s="14">
        <f>IF(W10&gt;=7.8,1,0)</f>
        <v>0</v>
      </c>
      <c r="AB10" s="29">
        <f>IF(BZ10=1,(BX10*0.1+BY10*0.1)*(-1),0)</f>
        <v>-0.05</v>
      </c>
      <c r="AC10" s="14">
        <f aca="true" t="shared" si="2" ref="AC10:AC45">IF(X10=1,(8+AB10)*BZ10*0,(8+AB10)*BZ10*1)</f>
        <v>7.95</v>
      </c>
      <c r="AD10" s="28">
        <v>13.4</v>
      </c>
      <c r="AE10" s="57"/>
      <c r="AF10" s="14">
        <f>IF(AD10=10.8,8,0)</f>
        <v>0</v>
      </c>
      <c r="AG10" s="14">
        <f>IF(AD10&lt;=7.8,1,0)</f>
        <v>0</v>
      </c>
      <c r="AH10" s="14">
        <f>IF(AD10&gt;=13.8,1,0)</f>
        <v>0</v>
      </c>
      <c r="AI10" s="29">
        <f>IF(CE10=1,(CC10*0.1+CD10*0.1)*(-1),0)</f>
        <v>-0.26</v>
      </c>
      <c r="AJ10" s="14">
        <f aca="true" t="shared" si="3" ref="AJ10:AJ45">IF(AE10=1,(8+AI10)*CE10*0,(8+AI10)*CE10*1)</f>
        <v>7.74</v>
      </c>
      <c r="AK10" s="34">
        <v>3</v>
      </c>
      <c r="AL10" s="34">
        <v>2</v>
      </c>
      <c r="AM10" s="34">
        <v>2</v>
      </c>
      <c r="AN10" s="34">
        <v>2</v>
      </c>
      <c r="AO10" s="57"/>
      <c r="AP10" s="14">
        <f>IF(AO10=1,(AK10+AL10+AM10+AN10)*0,AK10+AL10+AM10+AN10)</f>
        <v>9</v>
      </c>
      <c r="AQ10" s="34"/>
      <c r="AR10" s="34"/>
      <c r="AS10" s="49">
        <v>0</v>
      </c>
      <c r="AT10" s="34">
        <v>2</v>
      </c>
      <c r="AU10" s="34">
        <v>0</v>
      </c>
      <c r="AV10" s="34">
        <v>0</v>
      </c>
      <c r="AW10" s="50"/>
      <c r="AX10" s="14">
        <f>IF(AW10=1,(IF(AT10=3,6,IF(AT10=2,4,2))+AU10+AV10)*0,(IF(AT10=3,6,IF(AT10=2,4,2))+AU10+AV10))</f>
        <v>4</v>
      </c>
      <c r="AY10" s="57"/>
      <c r="AZ10" s="57"/>
      <c r="BA10" s="57"/>
      <c r="BB10" s="57"/>
      <c r="BC10" s="29">
        <f>SUM(AY10:BB10)*3</f>
        <v>0</v>
      </c>
      <c r="BD10" s="50"/>
      <c r="BE10" s="15">
        <v>0.1909722222222222</v>
      </c>
      <c r="BF10" s="49">
        <f aca="true" t="shared" si="4" ref="BF10:BF45">IF(BD10=1,(E10+L10+O10+V10+AC10+AJ10+AP10+AS10+AX10-BC10)*0,E10+L10+O10+V10+AC10+AJ10+AP10+AS10+AX10-BC10)</f>
        <v>47.61</v>
      </c>
      <c r="BG10" s="34">
        <v>0</v>
      </c>
      <c r="BH10" s="39">
        <f>BG10+BF10</f>
        <v>47.61</v>
      </c>
      <c r="BI10" s="64"/>
      <c r="BJ10" s="14">
        <v>1</v>
      </c>
      <c r="BK10" s="14">
        <v>2</v>
      </c>
      <c r="BM10" s="14">
        <f aca="true" t="shared" si="5" ref="BM10:BM45">ABS(36-F10)</f>
        <v>8.100000000000001</v>
      </c>
      <c r="BN10" s="14">
        <f>INT(BM10)</f>
        <v>8</v>
      </c>
      <c r="BO10" s="14">
        <f>ABS(BM10-BN10)</f>
        <v>0.10000000000000142</v>
      </c>
      <c r="BP10" s="14">
        <f aca="true" t="shared" si="6" ref="BP10:BP45">IF((I10+J10)=0,1,0)</f>
        <v>0</v>
      </c>
      <c r="BR10" s="14">
        <f aca="true" t="shared" si="7" ref="BR10:BR45">ABS(9-P10)</f>
        <v>0.8000000000000007</v>
      </c>
      <c r="BS10" s="14">
        <f>INT(BR10)</f>
        <v>0</v>
      </c>
      <c r="BT10" s="14">
        <f>ABS(BR10-BS10)</f>
        <v>0.8000000000000007</v>
      </c>
      <c r="BU10" s="14">
        <f aca="true" t="shared" si="8" ref="BU10:BU45">IF((S10+T10)=0,1,0)</f>
        <v>1</v>
      </c>
      <c r="BW10" s="14">
        <f aca="true" t="shared" si="9" ref="BW10:BW45">ABS(4.8-W10)</f>
        <v>0.5</v>
      </c>
      <c r="BX10" s="14">
        <f>INT(BW10)</f>
        <v>0</v>
      </c>
      <c r="BY10" s="14">
        <f>ABS(BW10-BX10)</f>
        <v>0.5</v>
      </c>
      <c r="BZ10" s="14">
        <f aca="true" t="shared" si="10" ref="BZ10:BZ45">IF((Z10+AA10)=0,1,0)</f>
        <v>1</v>
      </c>
      <c r="CB10" s="14">
        <f aca="true" t="shared" si="11" ref="CB10:CB45">ABS(10.8-AD10)</f>
        <v>2.5999999999999996</v>
      </c>
      <c r="CC10" s="14">
        <f>INT(CB10)</f>
        <v>2</v>
      </c>
      <c r="CD10" s="14">
        <f>ABS(CB10-CC10)</f>
        <v>0.5999999999999996</v>
      </c>
      <c r="CE10" s="14">
        <f aca="true" t="shared" si="12" ref="CE10:CE45">IF((AG10+AH10)=0,1,0)</f>
        <v>1</v>
      </c>
    </row>
    <row r="11" spans="1:83" ht="12.75" customHeight="1">
      <c r="A11" s="34">
        <v>2</v>
      </c>
      <c r="B11" s="54" t="str">
        <f>IF(A11="","",VLOOKUP(A11,Жеребьевка!$A$6:$C$45,2,0))</f>
        <v>Мельницын Сергей Владимирович</v>
      </c>
      <c r="C11" s="34">
        <v>1</v>
      </c>
      <c r="D11" s="34">
        <v>1</v>
      </c>
      <c r="E11" s="14">
        <f aca="true" t="shared" si="13" ref="E11:E45">IF(C11=1,1,0)+IF(D11=1,2,0)</f>
        <v>3</v>
      </c>
      <c r="F11" s="28">
        <v>33.3</v>
      </c>
      <c r="G11" s="57"/>
      <c r="H11" s="14">
        <f aca="true" t="shared" si="14" ref="H11:H45">IF(F11=36,8,0)</f>
        <v>0</v>
      </c>
      <c r="I11" s="14">
        <f aca="true" t="shared" si="15" ref="I11:I45">IF(F11&lt;=33,1,0)</f>
        <v>0</v>
      </c>
      <c r="J11" s="14">
        <f aca="true" t="shared" si="16" ref="J11:J45">IF(F11&gt;=39,1,0)</f>
        <v>0</v>
      </c>
      <c r="K11" s="29">
        <f aca="true" t="shared" si="17" ref="K11:K45">IF(BP11=1,(BN11*0.1+BO11*0.1)*(-1),0)</f>
        <v>-0.2700000000000003</v>
      </c>
      <c r="L11" s="14">
        <f t="shared" si="0"/>
        <v>7.7299999999999995</v>
      </c>
      <c r="M11" s="34">
        <v>5</v>
      </c>
      <c r="N11" s="57"/>
      <c r="O11" s="14">
        <f aca="true" t="shared" si="18" ref="O11:O45">IF(N11=1,(M11*2)*0,M11*2)</f>
        <v>10</v>
      </c>
      <c r="P11" s="28">
        <v>9.6</v>
      </c>
      <c r="Q11" s="57"/>
      <c r="R11" s="14">
        <f aca="true" t="shared" si="19" ref="R11:R45">IF(P11=9,8,0)</f>
        <v>0</v>
      </c>
      <c r="S11" s="14">
        <f aca="true" t="shared" si="20" ref="S11:S45">IF(P11&lt;=6,1,0)</f>
        <v>0</v>
      </c>
      <c r="T11" s="14">
        <f aca="true" t="shared" si="21" ref="T11:T45">IF(P11&gt;=12,1,0)</f>
        <v>0</v>
      </c>
      <c r="U11" s="29">
        <f aca="true" t="shared" si="22" ref="U11:U45">IF(BU11=1,(BS11*0.1+BT11*0.1)*(-1),0)</f>
        <v>-0.05999999999999997</v>
      </c>
      <c r="V11" s="14">
        <f t="shared" si="1"/>
        <v>7.94</v>
      </c>
      <c r="W11" s="28">
        <v>4.5</v>
      </c>
      <c r="X11" s="57"/>
      <c r="Y11" s="14">
        <f aca="true" t="shared" si="23" ref="Y11:Y45">IF(W11=4.8,8,0)</f>
        <v>0</v>
      </c>
      <c r="Z11" s="14">
        <f aca="true" t="shared" si="24" ref="Z11:Z45">IF(W11&lt;=1.8,1,0)</f>
        <v>0</v>
      </c>
      <c r="AA11" s="14">
        <f aca="true" t="shared" si="25" ref="AA11:AA45">IF(W11&gt;=7.8,1,0)</f>
        <v>0</v>
      </c>
      <c r="AB11" s="29">
        <f aca="true" t="shared" si="26" ref="AB11:AB45">IF(BZ11=1,(BX11*0.1+BY11*0.1)*(-1),0)</f>
        <v>-0.029999999999999985</v>
      </c>
      <c r="AC11" s="14">
        <f t="shared" si="2"/>
        <v>7.97</v>
      </c>
      <c r="AD11" s="28">
        <v>10.3</v>
      </c>
      <c r="AE11" s="57"/>
      <c r="AF11" s="14">
        <f aca="true" t="shared" si="27" ref="AF11:AF45">IF(AD11=10.8,8,0)</f>
        <v>0</v>
      </c>
      <c r="AG11" s="14">
        <f aca="true" t="shared" si="28" ref="AG11:AG45">IF(AD11&lt;=7.8,1,0)</f>
        <v>0</v>
      </c>
      <c r="AH11" s="14">
        <f aca="true" t="shared" si="29" ref="AH11:AH45">IF(AD11&gt;=13.8,1,0)</f>
        <v>0</v>
      </c>
      <c r="AI11" s="29">
        <f aca="true" t="shared" si="30" ref="AI11:AI45">IF(CE11=1,(CC11*0.1+CD11*0.1)*(-1),0)</f>
        <v>-0.05</v>
      </c>
      <c r="AJ11" s="14">
        <f t="shared" si="3"/>
        <v>7.95</v>
      </c>
      <c r="AK11" s="34">
        <v>1</v>
      </c>
      <c r="AL11" s="34">
        <v>2</v>
      </c>
      <c r="AM11" s="34">
        <v>2</v>
      </c>
      <c r="AN11" s="34">
        <v>2</v>
      </c>
      <c r="AO11" s="57"/>
      <c r="AP11" s="14">
        <f aca="true" t="shared" si="31" ref="AP11:AP45">IF(AO11=1,(AK11+AL11+AM11+AN11)*0,AK11+AL11+AM11+AN11)</f>
        <v>7</v>
      </c>
      <c r="AQ11" s="34"/>
      <c r="AR11" s="34"/>
      <c r="AS11" s="49">
        <v>0</v>
      </c>
      <c r="AT11" s="34">
        <v>1</v>
      </c>
      <c r="AU11" s="34">
        <v>2</v>
      </c>
      <c r="AV11" s="34">
        <v>0</v>
      </c>
      <c r="AW11" s="50"/>
      <c r="AX11" s="14">
        <f aca="true" t="shared" si="32" ref="AX11:AX45">IF(AW11=1,(IF(AT11=3,6,IF(AT11=2,4,2))+AU11+AV11)*0,(IF(AT11=3,6,IF(AT11=2,4,2))+AU11+AV11))</f>
        <v>4</v>
      </c>
      <c r="AY11" s="57"/>
      <c r="AZ11" s="57"/>
      <c r="BA11" s="57"/>
      <c r="BB11" s="57"/>
      <c r="BC11" s="29">
        <f aca="true" t="shared" si="33" ref="BC11:BC45">SUM(AY11:BB11)*3</f>
        <v>0</v>
      </c>
      <c r="BD11" s="50"/>
      <c r="BE11" s="15">
        <v>0.12569444444444444</v>
      </c>
      <c r="BF11" s="49">
        <f t="shared" si="4"/>
        <v>55.59</v>
      </c>
      <c r="BG11" s="34">
        <v>0</v>
      </c>
      <c r="BH11" s="39">
        <f aca="true" t="shared" si="34" ref="BH11:BH45">BG11+BF11</f>
        <v>55.59</v>
      </c>
      <c r="BI11" s="64"/>
      <c r="BJ11" s="14">
        <v>2</v>
      </c>
      <c r="BK11" s="14">
        <v>1.5</v>
      </c>
      <c r="BM11" s="14">
        <f t="shared" si="5"/>
        <v>2.700000000000003</v>
      </c>
      <c r="BN11" s="14">
        <f aca="true" t="shared" si="35" ref="BN11:BN45">INT(BM11)</f>
        <v>2</v>
      </c>
      <c r="BO11" s="14">
        <f aca="true" t="shared" si="36" ref="BO11:BO45">ABS(BM11-BN11)</f>
        <v>0.7000000000000028</v>
      </c>
      <c r="BP11" s="14">
        <f t="shared" si="6"/>
        <v>1</v>
      </c>
      <c r="BR11" s="14">
        <f t="shared" si="7"/>
        <v>0.5999999999999996</v>
      </c>
      <c r="BS11" s="14">
        <f aca="true" t="shared" si="37" ref="BS11:BS45">INT(BR11)</f>
        <v>0</v>
      </c>
      <c r="BT11" s="14">
        <f aca="true" t="shared" si="38" ref="BT11:BT45">ABS(BR11-BS11)</f>
        <v>0.5999999999999996</v>
      </c>
      <c r="BU11" s="14">
        <f t="shared" si="8"/>
        <v>1</v>
      </c>
      <c r="BW11" s="14">
        <f t="shared" si="9"/>
        <v>0.2999999999999998</v>
      </c>
      <c r="BX11" s="14">
        <f aca="true" t="shared" si="39" ref="BX11:BX45">INT(BW11)</f>
        <v>0</v>
      </c>
      <c r="BY11" s="14">
        <f aca="true" t="shared" si="40" ref="BY11:BY45">ABS(BW11-BX11)</f>
        <v>0.2999999999999998</v>
      </c>
      <c r="BZ11" s="14">
        <f t="shared" si="10"/>
        <v>1</v>
      </c>
      <c r="CB11" s="14">
        <f t="shared" si="11"/>
        <v>0.5</v>
      </c>
      <c r="CC11" s="14">
        <f aca="true" t="shared" si="41" ref="CC11:CC45">INT(CB11)</f>
        <v>0</v>
      </c>
      <c r="CD11" s="14">
        <f aca="true" t="shared" si="42" ref="CD11:CD45">ABS(CB11-CC11)</f>
        <v>0.5</v>
      </c>
      <c r="CE11" s="14">
        <f t="shared" si="12"/>
        <v>1</v>
      </c>
    </row>
    <row r="12" spans="1:83" ht="12.75">
      <c r="A12" s="34">
        <v>3</v>
      </c>
      <c r="B12" s="54" t="str">
        <f>IF(A12="","",VLOOKUP(A12,Жеребьевка!$A$6:$C$45,2,0))</f>
        <v>Гайнуллин Рустам Фаритович</v>
      </c>
      <c r="C12" s="34">
        <v>1</v>
      </c>
      <c r="D12" s="34">
        <v>0</v>
      </c>
      <c r="E12" s="14">
        <f t="shared" si="13"/>
        <v>1</v>
      </c>
      <c r="F12" s="28">
        <v>31.8</v>
      </c>
      <c r="G12" s="57"/>
      <c r="H12" s="14">
        <f t="shared" si="14"/>
        <v>0</v>
      </c>
      <c r="I12" s="14">
        <f t="shared" si="15"/>
        <v>1</v>
      </c>
      <c r="J12" s="14">
        <f t="shared" si="16"/>
        <v>0</v>
      </c>
      <c r="K12" s="29">
        <f t="shared" si="17"/>
        <v>0</v>
      </c>
      <c r="L12" s="14">
        <f t="shared" si="0"/>
        <v>0</v>
      </c>
      <c r="M12" s="34">
        <v>5</v>
      </c>
      <c r="N12" s="57"/>
      <c r="O12" s="14">
        <f t="shared" si="18"/>
        <v>10</v>
      </c>
      <c r="P12" s="28">
        <v>7.3</v>
      </c>
      <c r="Q12" s="57"/>
      <c r="R12" s="14">
        <f t="shared" si="19"/>
        <v>0</v>
      </c>
      <c r="S12" s="14">
        <f t="shared" si="20"/>
        <v>0</v>
      </c>
      <c r="T12" s="14">
        <f t="shared" si="21"/>
        <v>0</v>
      </c>
      <c r="U12" s="29">
        <f t="shared" si="22"/>
        <v>-0.17000000000000004</v>
      </c>
      <c r="V12" s="14">
        <f t="shared" si="1"/>
        <v>7.83</v>
      </c>
      <c r="W12" s="28">
        <v>4.3</v>
      </c>
      <c r="X12" s="57"/>
      <c r="Y12" s="14">
        <f t="shared" si="23"/>
        <v>0</v>
      </c>
      <c r="Z12" s="14">
        <f t="shared" si="24"/>
        <v>0</v>
      </c>
      <c r="AA12" s="14">
        <f t="shared" si="25"/>
        <v>0</v>
      </c>
      <c r="AB12" s="29">
        <f t="shared" si="26"/>
        <v>-0.05</v>
      </c>
      <c r="AC12" s="14">
        <f t="shared" si="2"/>
        <v>7.95</v>
      </c>
      <c r="AD12" s="28">
        <v>10.4</v>
      </c>
      <c r="AE12" s="57"/>
      <c r="AF12" s="14">
        <f t="shared" si="27"/>
        <v>0</v>
      </c>
      <c r="AG12" s="14">
        <f t="shared" si="28"/>
        <v>0</v>
      </c>
      <c r="AH12" s="14">
        <f t="shared" si="29"/>
        <v>0</v>
      </c>
      <c r="AI12" s="29">
        <f t="shared" si="30"/>
        <v>-0.040000000000000036</v>
      </c>
      <c r="AJ12" s="14">
        <f t="shared" si="3"/>
        <v>7.96</v>
      </c>
      <c r="AK12" s="34">
        <v>1</v>
      </c>
      <c r="AL12" s="34">
        <v>2</v>
      </c>
      <c r="AM12" s="34">
        <v>2</v>
      </c>
      <c r="AN12" s="34">
        <v>2</v>
      </c>
      <c r="AO12" s="57"/>
      <c r="AP12" s="14">
        <f t="shared" si="31"/>
        <v>7</v>
      </c>
      <c r="AQ12" s="34"/>
      <c r="AR12" s="34"/>
      <c r="AS12" s="49">
        <v>0</v>
      </c>
      <c r="AT12" s="34">
        <v>1</v>
      </c>
      <c r="AU12" s="34">
        <v>2</v>
      </c>
      <c r="AV12" s="34">
        <v>0</v>
      </c>
      <c r="AW12" s="50"/>
      <c r="AX12" s="14">
        <f t="shared" si="32"/>
        <v>4</v>
      </c>
      <c r="AY12" s="57"/>
      <c r="AZ12" s="57"/>
      <c r="BA12" s="57"/>
      <c r="BB12" s="57"/>
      <c r="BC12" s="29">
        <f t="shared" si="33"/>
        <v>0</v>
      </c>
      <c r="BD12" s="50"/>
      <c r="BE12" s="15">
        <v>0.13472222222222222</v>
      </c>
      <c r="BF12" s="49">
        <f t="shared" si="4"/>
        <v>45.739999999999995</v>
      </c>
      <c r="BG12" s="34">
        <v>0</v>
      </c>
      <c r="BH12" s="39">
        <f t="shared" si="34"/>
        <v>45.739999999999995</v>
      </c>
      <c r="BI12" s="64"/>
      <c r="BJ12" s="14">
        <v>3</v>
      </c>
      <c r="BK12" s="14">
        <v>1</v>
      </c>
      <c r="BM12" s="14">
        <f t="shared" si="5"/>
        <v>4.199999999999999</v>
      </c>
      <c r="BN12" s="14">
        <f t="shared" si="35"/>
        <v>4</v>
      </c>
      <c r="BO12" s="14">
        <f t="shared" si="36"/>
        <v>0.1999999999999993</v>
      </c>
      <c r="BP12" s="14">
        <f t="shared" si="6"/>
        <v>0</v>
      </c>
      <c r="BR12" s="14">
        <f t="shared" si="7"/>
        <v>1.7000000000000002</v>
      </c>
      <c r="BS12" s="14">
        <f t="shared" si="37"/>
        <v>1</v>
      </c>
      <c r="BT12" s="14">
        <f t="shared" si="38"/>
        <v>0.7000000000000002</v>
      </c>
      <c r="BU12" s="14">
        <f t="shared" si="8"/>
        <v>1</v>
      </c>
      <c r="BW12" s="14">
        <f t="shared" si="9"/>
        <v>0.5</v>
      </c>
      <c r="BX12" s="14">
        <f t="shared" si="39"/>
        <v>0</v>
      </c>
      <c r="BY12" s="14">
        <f t="shared" si="40"/>
        <v>0.5</v>
      </c>
      <c r="BZ12" s="14">
        <f t="shared" si="10"/>
        <v>1</v>
      </c>
      <c r="CB12" s="14">
        <f t="shared" si="11"/>
        <v>0.40000000000000036</v>
      </c>
      <c r="CC12" s="14">
        <f t="shared" si="41"/>
        <v>0</v>
      </c>
      <c r="CD12" s="14">
        <f t="shared" si="42"/>
        <v>0.40000000000000036</v>
      </c>
      <c r="CE12" s="14">
        <f t="shared" si="12"/>
        <v>1</v>
      </c>
    </row>
    <row r="13" spans="1:83" ht="12.75">
      <c r="A13" s="34">
        <v>4</v>
      </c>
      <c r="B13" s="54" t="str">
        <f>IF(A13="","",VLOOKUP(A13,Жеребьевка!$A$6:$C$45,2,0))</f>
        <v>Мартынов Владимир Михайлович</v>
      </c>
      <c r="C13" s="34">
        <v>0</v>
      </c>
      <c r="D13" s="34">
        <v>1</v>
      </c>
      <c r="E13" s="14">
        <f t="shared" si="13"/>
        <v>2</v>
      </c>
      <c r="F13" s="28">
        <v>40.4</v>
      </c>
      <c r="G13" s="57">
        <v>1</v>
      </c>
      <c r="H13" s="14">
        <f t="shared" si="14"/>
        <v>0</v>
      </c>
      <c r="I13" s="14">
        <f t="shared" si="15"/>
        <v>0</v>
      </c>
      <c r="J13" s="14">
        <f t="shared" si="16"/>
        <v>1</v>
      </c>
      <c r="K13" s="29">
        <f t="shared" si="17"/>
        <v>0</v>
      </c>
      <c r="L13" s="14">
        <f t="shared" si="0"/>
        <v>0</v>
      </c>
      <c r="M13" s="34">
        <v>5</v>
      </c>
      <c r="N13" s="57"/>
      <c r="O13" s="14">
        <f t="shared" si="18"/>
        <v>10</v>
      </c>
      <c r="P13" s="28">
        <v>9.9</v>
      </c>
      <c r="Q13" s="57"/>
      <c r="R13" s="14">
        <f t="shared" si="19"/>
        <v>0</v>
      </c>
      <c r="S13" s="14">
        <f t="shared" si="20"/>
        <v>0</v>
      </c>
      <c r="T13" s="14">
        <f t="shared" si="21"/>
        <v>0</v>
      </c>
      <c r="U13" s="29">
        <f t="shared" si="22"/>
        <v>-0.09000000000000004</v>
      </c>
      <c r="V13" s="14">
        <f t="shared" si="1"/>
        <v>7.91</v>
      </c>
      <c r="W13" s="28">
        <v>4.9</v>
      </c>
      <c r="X13" s="57"/>
      <c r="Y13" s="14">
        <f t="shared" si="23"/>
        <v>0</v>
      </c>
      <c r="Z13" s="14">
        <f t="shared" si="24"/>
        <v>0</v>
      </c>
      <c r="AA13" s="14">
        <f t="shared" si="25"/>
        <v>0</v>
      </c>
      <c r="AB13" s="29">
        <f t="shared" si="26"/>
        <v>-0.010000000000000054</v>
      </c>
      <c r="AC13" s="14">
        <f t="shared" si="2"/>
        <v>7.99</v>
      </c>
      <c r="AD13" s="28">
        <v>12.6</v>
      </c>
      <c r="AE13" s="57"/>
      <c r="AF13" s="14">
        <f t="shared" si="27"/>
        <v>0</v>
      </c>
      <c r="AG13" s="14">
        <f t="shared" si="28"/>
        <v>0</v>
      </c>
      <c r="AH13" s="14">
        <f t="shared" si="29"/>
        <v>0</v>
      </c>
      <c r="AI13" s="29">
        <f t="shared" si="30"/>
        <v>-0.1799999999999999</v>
      </c>
      <c r="AJ13" s="14">
        <f t="shared" si="3"/>
        <v>7.82</v>
      </c>
      <c r="AK13" s="34">
        <v>2</v>
      </c>
      <c r="AL13" s="34">
        <v>2</v>
      </c>
      <c r="AM13" s="34">
        <v>2</v>
      </c>
      <c r="AN13" s="34">
        <v>0</v>
      </c>
      <c r="AO13" s="57"/>
      <c r="AP13" s="14">
        <f t="shared" si="31"/>
        <v>6</v>
      </c>
      <c r="AQ13" s="34"/>
      <c r="AR13" s="34"/>
      <c r="AS13" s="49">
        <v>0</v>
      </c>
      <c r="AT13" s="34">
        <v>3</v>
      </c>
      <c r="AU13" s="34">
        <v>0</v>
      </c>
      <c r="AV13" s="34">
        <v>0</v>
      </c>
      <c r="AW13" s="50">
        <v>1</v>
      </c>
      <c r="AX13" s="14">
        <f t="shared" si="32"/>
        <v>0</v>
      </c>
      <c r="AY13" s="57"/>
      <c r="AZ13" s="57"/>
      <c r="BA13" s="57"/>
      <c r="BB13" s="57"/>
      <c r="BC13" s="29">
        <f t="shared" si="33"/>
        <v>0</v>
      </c>
      <c r="BD13" s="50">
        <v>1</v>
      </c>
      <c r="BE13" s="15">
        <v>0.20902777777777778</v>
      </c>
      <c r="BF13" s="49">
        <f t="shared" si="4"/>
        <v>0</v>
      </c>
      <c r="BG13" s="34">
        <v>0</v>
      </c>
      <c r="BH13" s="39">
        <f t="shared" si="34"/>
        <v>0</v>
      </c>
      <c r="BI13" s="64"/>
      <c r="BJ13" s="14">
        <v>4</v>
      </c>
      <c r="BK13" s="14">
        <v>0.8</v>
      </c>
      <c r="BM13" s="14">
        <f t="shared" si="5"/>
        <v>4.399999999999999</v>
      </c>
      <c r="BN13" s="14">
        <f t="shared" si="35"/>
        <v>4</v>
      </c>
      <c r="BO13" s="14">
        <f t="shared" si="36"/>
        <v>0.3999999999999986</v>
      </c>
      <c r="BP13" s="14">
        <f t="shared" si="6"/>
        <v>0</v>
      </c>
      <c r="BR13" s="14">
        <f t="shared" si="7"/>
        <v>0.9000000000000004</v>
      </c>
      <c r="BS13" s="14">
        <f t="shared" si="37"/>
        <v>0</v>
      </c>
      <c r="BT13" s="14">
        <f t="shared" si="38"/>
        <v>0.9000000000000004</v>
      </c>
      <c r="BU13" s="14">
        <f t="shared" si="8"/>
        <v>1</v>
      </c>
      <c r="BW13" s="14">
        <f t="shared" si="9"/>
        <v>0.10000000000000053</v>
      </c>
      <c r="BX13" s="14">
        <f t="shared" si="39"/>
        <v>0</v>
      </c>
      <c r="BY13" s="14">
        <f t="shared" si="40"/>
        <v>0.10000000000000053</v>
      </c>
      <c r="BZ13" s="14">
        <f t="shared" si="10"/>
        <v>1</v>
      </c>
      <c r="CB13" s="14">
        <f t="shared" si="11"/>
        <v>1.799999999999999</v>
      </c>
      <c r="CC13" s="14">
        <f t="shared" si="41"/>
        <v>1</v>
      </c>
      <c r="CD13" s="14">
        <f t="shared" si="42"/>
        <v>0.7999999999999989</v>
      </c>
      <c r="CE13" s="14">
        <f t="shared" si="12"/>
        <v>1</v>
      </c>
    </row>
    <row r="14" spans="1:83" ht="12.75">
      <c r="A14" s="34">
        <v>5</v>
      </c>
      <c r="B14" s="54" t="str">
        <f>IF(A14="","",VLOOKUP(A14,Жеребьевка!$A$6:$C$45,2,0))</f>
        <v>Богатырева Оксана Юрьевна</v>
      </c>
      <c r="C14" s="34">
        <v>1</v>
      </c>
      <c r="D14" s="34">
        <v>1</v>
      </c>
      <c r="E14" s="14">
        <f t="shared" si="13"/>
        <v>3</v>
      </c>
      <c r="F14" s="28">
        <v>42</v>
      </c>
      <c r="G14" s="57"/>
      <c r="H14" s="14">
        <f t="shared" si="14"/>
        <v>0</v>
      </c>
      <c r="I14" s="14">
        <f t="shared" si="15"/>
        <v>0</v>
      </c>
      <c r="J14" s="14">
        <f t="shared" si="16"/>
        <v>1</v>
      </c>
      <c r="K14" s="29">
        <f t="shared" si="17"/>
        <v>0</v>
      </c>
      <c r="L14" s="14">
        <f t="shared" si="0"/>
        <v>0</v>
      </c>
      <c r="M14" s="34">
        <v>5</v>
      </c>
      <c r="N14" s="57"/>
      <c r="O14" s="14">
        <f t="shared" si="18"/>
        <v>10</v>
      </c>
      <c r="P14" s="28">
        <v>9.2</v>
      </c>
      <c r="Q14" s="57"/>
      <c r="R14" s="14">
        <f t="shared" si="19"/>
        <v>0</v>
      </c>
      <c r="S14" s="14">
        <f t="shared" si="20"/>
        <v>0</v>
      </c>
      <c r="T14" s="14">
        <f t="shared" si="21"/>
        <v>0</v>
      </c>
      <c r="U14" s="29">
        <f t="shared" si="22"/>
        <v>-0.01999999999999993</v>
      </c>
      <c r="V14" s="14">
        <f t="shared" si="1"/>
        <v>7.98</v>
      </c>
      <c r="W14" s="28">
        <v>4.6</v>
      </c>
      <c r="X14" s="57"/>
      <c r="Y14" s="14">
        <f t="shared" si="23"/>
        <v>0</v>
      </c>
      <c r="Z14" s="14">
        <f t="shared" si="24"/>
        <v>0</v>
      </c>
      <c r="AA14" s="14">
        <f t="shared" si="25"/>
        <v>0</v>
      </c>
      <c r="AB14" s="29">
        <f t="shared" si="26"/>
        <v>-0.020000000000000018</v>
      </c>
      <c r="AC14" s="14">
        <f t="shared" si="2"/>
        <v>7.98</v>
      </c>
      <c r="AD14" s="28">
        <v>12.8</v>
      </c>
      <c r="AE14" s="57"/>
      <c r="AF14" s="14">
        <f t="shared" si="27"/>
        <v>0</v>
      </c>
      <c r="AG14" s="14">
        <f t="shared" si="28"/>
        <v>0</v>
      </c>
      <c r="AH14" s="14">
        <f t="shared" si="29"/>
        <v>0</v>
      </c>
      <c r="AI14" s="29">
        <f t="shared" si="30"/>
        <v>-0.2</v>
      </c>
      <c r="AJ14" s="14">
        <f t="shared" si="3"/>
        <v>7.8</v>
      </c>
      <c r="AK14" s="34">
        <v>2</v>
      </c>
      <c r="AL14" s="34">
        <v>2</v>
      </c>
      <c r="AM14" s="34">
        <v>2</v>
      </c>
      <c r="AN14" s="34">
        <v>2</v>
      </c>
      <c r="AO14" s="57"/>
      <c r="AP14" s="14">
        <f t="shared" si="31"/>
        <v>8</v>
      </c>
      <c r="AQ14" s="34"/>
      <c r="AR14" s="34"/>
      <c r="AS14" s="49">
        <v>0</v>
      </c>
      <c r="AT14" s="34">
        <v>1</v>
      </c>
      <c r="AU14" s="34">
        <v>2</v>
      </c>
      <c r="AV14" s="34">
        <v>2</v>
      </c>
      <c r="AW14" s="50"/>
      <c r="AX14" s="14">
        <f t="shared" si="32"/>
        <v>6</v>
      </c>
      <c r="AY14" s="57"/>
      <c r="AZ14" s="57"/>
      <c r="BA14" s="57"/>
      <c r="BB14" s="57"/>
      <c r="BC14" s="29">
        <f t="shared" si="33"/>
        <v>0</v>
      </c>
      <c r="BD14" s="50"/>
      <c r="BE14" s="15">
        <v>0.17847222222222223</v>
      </c>
      <c r="BF14" s="49">
        <f t="shared" si="4"/>
        <v>50.76</v>
      </c>
      <c r="BG14" s="34">
        <v>0</v>
      </c>
      <c r="BH14" s="39">
        <f t="shared" si="34"/>
        <v>50.76</v>
      </c>
      <c r="BI14" s="64"/>
      <c r="BJ14" s="14">
        <v>5</v>
      </c>
      <c r="BK14" s="14">
        <v>0.4</v>
      </c>
      <c r="BM14" s="14">
        <f t="shared" si="5"/>
        <v>6</v>
      </c>
      <c r="BN14" s="14">
        <f t="shared" si="35"/>
        <v>6</v>
      </c>
      <c r="BO14" s="14">
        <f t="shared" si="36"/>
        <v>0</v>
      </c>
      <c r="BP14" s="14">
        <f t="shared" si="6"/>
        <v>0</v>
      </c>
      <c r="BR14" s="14">
        <f t="shared" si="7"/>
        <v>0.1999999999999993</v>
      </c>
      <c r="BS14" s="14">
        <f t="shared" si="37"/>
        <v>0</v>
      </c>
      <c r="BT14" s="14">
        <f t="shared" si="38"/>
        <v>0.1999999999999993</v>
      </c>
      <c r="BU14" s="14">
        <f t="shared" si="8"/>
        <v>1</v>
      </c>
      <c r="BW14" s="14">
        <f t="shared" si="9"/>
        <v>0.20000000000000018</v>
      </c>
      <c r="BX14" s="14">
        <f t="shared" si="39"/>
        <v>0</v>
      </c>
      <c r="BY14" s="14">
        <f t="shared" si="40"/>
        <v>0.20000000000000018</v>
      </c>
      <c r="BZ14" s="14">
        <f t="shared" si="10"/>
        <v>1</v>
      </c>
      <c r="CB14" s="14">
        <f t="shared" si="11"/>
        <v>2</v>
      </c>
      <c r="CC14" s="14">
        <f t="shared" si="41"/>
        <v>2</v>
      </c>
      <c r="CD14" s="14">
        <f t="shared" si="42"/>
        <v>0</v>
      </c>
      <c r="CE14" s="14">
        <f t="shared" si="12"/>
        <v>1</v>
      </c>
    </row>
    <row r="15" spans="1:83" ht="12.75">
      <c r="A15" s="34">
        <v>6</v>
      </c>
      <c r="B15" s="54" t="str">
        <f>IF(A15="","",VLOOKUP(A15,Жеребьевка!$A$6:$C$45,2,0))</f>
        <v>Кирова Татьяна Михайловна</v>
      </c>
      <c r="C15" s="34">
        <v>1</v>
      </c>
      <c r="D15" s="34">
        <v>1</v>
      </c>
      <c r="E15" s="14">
        <f t="shared" si="13"/>
        <v>3</v>
      </c>
      <c r="F15" s="28">
        <v>35.6</v>
      </c>
      <c r="G15" s="57"/>
      <c r="H15" s="14">
        <f t="shared" si="14"/>
        <v>0</v>
      </c>
      <c r="I15" s="14">
        <f t="shared" si="15"/>
        <v>0</v>
      </c>
      <c r="J15" s="14">
        <f t="shared" si="16"/>
        <v>0</v>
      </c>
      <c r="K15" s="29">
        <f t="shared" si="17"/>
        <v>-0.03999999999999986</v>
      </c>
      <c r="L15" s="14">
        <f t="shared" si="0"/>
        <v>7.96</v>
      </c>
      <c r="M15" s="34">
        <v>5</v>
      </c>
      <c r="N15" s="57"/>
      <c r="O15" s="14">
        <f t="shared" si="18"/>
        <v>10</v>
      </c>
      <c r="P15" s="28">
        <v>8.5</v>
      </c>
      <c r="Q15" s="57"/>
      <c r="R15" s="14">
        <f t="shared" si="19"/>
        <v>0</v>
      </c>
      <c r="S15" s="14">
        <f t="shared" si="20"/>
        <v>0</v>
      </c>
      <c r="T15" s="14">
        <f t="shared" si="21"/>
        <v>0</v>
      </c>
      <c r="U15" s="29">
        <f t="shared" si="22"/>
        <v>-0.05</v>
      </c>
      <c r="V15" s="14">
        <f t="shared" si="1"/>
        <v>7.95</v>
      </c>
      <c r="W15" s="28">
        <v>4.6</v>
      </c>
      <c r="X15" s="57"/>
      <c r="Y15" s="14">
        <f t="shared" si="23"/>
        <v>0</v>
      </c>
      <c r="Z15" s="14">
        <f t="shared" si="24"/>
        <v>0</v>
      </c>
      <c r="AA15" s="14">
        <f t="shared" si="25"/>
        <v>0</v>
      </c>
      <c r="AB15" s="29">
        <f t="shared" si="26"/>
        <v>-0.020000000000000018</v>
      </c>
      <c r="AC15" s="14">
        <f t="shared" si="2"/>
        <v>7.98</v>
      </c>
      <c r="AD15" s="28">
        <v>12.8</v>
      </c>
      <c r="AE15" s="57"/>
      <c r="AF15" s="14">
        <f t="shared" si="27"/>
        <v>0</v>
      </c>
      <c r="AG15" s="14">
        <f t="shared" si="28"/>
        <v>0</v>
      </c>
      <c r="AH15" s="14">
        <f t="shared" si="29"/>
        <v>0</v>
      </c>
      <c r="AI15" s="29">
        <f t="shared" si="30"/>
        <v>-0.2</v>
      </c>
      <c r="AJ15" s="14">
        <f t="shared" si="3"/>
        <v>7.8</v>
      </c>
      <c r="AK15" s="34">
        <v>1</v>
      </c>
      <c r="AL15" s="34">
        <v>2</v>
      </c>
      <c r="AM15" s="34">
        <v>2</v>
      </c>
      <c r="AN15" s="34">
        <v>2</v>
      </c>
      <c r="AO15" s="57"/>
      <c r="AP15" s="14">
        <f t="shared" si="31"/>
        <v>7</v>
      </c>
      <c r="AQ15" s="34"/>
      <c r="AR15" s="34"/>
      <c r="AS15" s="49">
        <v>0</v>
      </c>
      <c r="AT15" s="34">
        <v>2</v>
      </c>
      <c r="AU15" s="34">
        <v>2</v>
      </c>
      <c r="AV15" s="34">
        <v>0</v>
      </c>
      <c r="AW15" s="50"/>
      <c r="AX15" s="14">
        <f t="shared" si="32"/>
        <v>6</v>
      </c>
      <c r="AY15" s="57"/>
      <c r="AZ15" s="57"/>
      <c r="BA15" s="57"/>
      <c r="BB15" s="57"/>
      <c r="BC15" s="29">
        <f t="shared" si="33"/>
        <v>0</v>
      </c>
      <c r="BD15" s="50"/>
      <c r="BE15" s="15">
        <v>0.2041666666666667</v>
      </c>
      <c r="BF15" s="49">
        <f t="shared" si="4"/>
        <v>57.69</v>
      </c>
      <c r="BG15" s="34">
        <v>0</v>
      </c>
      <c r="BH15" s="39">
        <f t="shared" si="34"/>
        <v>57.69</v>
      </c>
      <c r="BI15" s="64"/>
      <c r="BM15" s="14">
        <f t="shared" si="5"/>
        <v>0.3999999999999986</v>
      </c>
      <c r="BN15" s="14">
        <f t="shared" si="35"/>
        <v>0</v>
      </c>
      <c r="BO15" s="14">
        <f t="shared" si="36"/>
        <v>0.3999999999999986</v>
      </c>
      <c r="BP15" s="14">
        <f t="shared" si="6"/>
        <v>1</v>
      </c>
      <c r="BR15" s="14">
        <f t="shared" si="7"/>
        <v>0.5</v>
      </c>
      <c r="BS15" s="14">
        <f t="shared" si="37"/>
        <v>0</v>
      </c>
      <c r="BT15" s="14">
        <f t="shared" si="38"/>
        <v>0.5</v>
      </c>
      <c r="BU15" s="14">
        <f t="shared" si="8"/>
        <v>1</v>
      </c>
      <c r="BW15" s="14">
        <f t="shared" si="9"/>
        <v>0.20000000000000018</v>
      </c>
      <c r="BX15" s="14">
        <f t="shared" si="39"/>
        <v>0</v>
      </c>
      <c r="BY15" s="14">
        <f t="shared" si="40"/>
        <v>0.20000000000000018</v>
      </c>
      <c r="BZ15" s="14">
        <f t="shared" si="10"/>
        <v>1</v>
      </c>
      <c r="CB15" s="14">
        <f t="shared" si="11"/>
        <v>2</v>
      </c>
      <c r="CC15" s="14">
        <f t="shared" si="41"/>
        <v>2</v>
      </c>
      <c r="CD15" s="14">
        <f t="shared" si="42"/>
        <v>0</v>
      </c>
      <c r="CE15" s="14">
        <f t="shared" si="12"/>
        <v>1</v>
      </c>
    </row>
    <row r="16" spans="1:83" ht="12.75">
      <c r="A16" s="34">
        <v>7</v>
      </c>
      <c r="B16" s="54" t="str">
        <f>IF(A16="","",VLOOKUP(A16,Жеребьевка!$A$6:$C$45,2,0))</f>
        <v>Чугунова Ольга Викторовна</v>
      </c>
      <c r="C16" s="34">
        <v>0</v>
      </c>
      <c r="D16" s="34">
        <v>0</v>
      </c>
      <c r="E16" s="14">
        <f t="shared" si="13"/>
        <v>0</v>
      </c>
      <c r="F16" s="28">
        <v>34.1</v>
      </c>
      <c r="G16" s="57"/>
      <c r="H16" s="14">
        <f t="shared" si="14"/>
        <v>0</v>
      </c>
      <c r="I16" s="14">
        <f t="shared" si="15"/>
        <v>0</v>
      </c>
      <c r="J16" s="14">
        <f t="shared" si="16"/>
        <v>0</v>
      </c>
      <c r="K16" s="29">
        <f t="shared" si="17"/>
        <v>-0.18999999999999986</v>
      </c>
      <c r="L16" s="14">
        <f t="shared" si="0"/>
        <v>7.8100000000000005</v>
      </c>
      <c r="M16" s="34">
        <v>5</v>
      </c>
      <c r="N16" s="57"/>
      <c r="O16" s="14">
        <f t="shared" si="18"/>
        <v>10</v>
      </c>
      <c r="P16" s="28">
        <v>6.2</v>
      </c>
      <c r="Q16" s="57"/>
      <c r="R16" s="14">
        <f t="shared" si="19"/>
        <v>0</v>
      </c>
      <c r="S16" s="14">
        <f t="shared" si="20"/>
        <v>0</v>
      </c>
      <c r="T16" s="14">
        <f t="shared" si="21"/>
        <v>0</v>
      </c>
      <c r="U16" s="29">
        <f t="shared" si="22"/>
        <v>-0.28</v>
      </c>
      <c r="V16" s="14">
        <f t="shared" si="1"/>
        <v>7.72</v>
      </c>
      <c r="W16" s="28">
        <v>3.9</v>
      </c>
      <c r="X16" s="57"/>
      <c r="Y16" s="14">
        <f t="shared" si="23"/>
        <v>0</v>
      </c>
      <c r="Z16" s="14">
        <f t="shared" si="24"/>
        <v>0</v>
      </c>
      <c r="AA16" s="14">
        <f t="shared" si="25"/>
        <v>0</v>
      </c>
      <c r="AB16" s="29">
        <f t="shared" si="26"/>
        <v>-0.09</v>
      </c>
      <c r="AC16" s="14">
        <f t="shared" si="2"/>
        <v>7.91</v>
      </c>
      <c r="AD16" s="28">
        <v>13.1</v>
      </c>
      <c r="AE16" s="57"/>
      <c r="AF16" s="14">
        <f t="shared" si="27"/>
        <v>0</v>
      </c>
      <c r="AG16" s="14">
        <f t="shared" si="28"/>
        <v>0</v>
      </c>
      <c r="AH16" s="14">
        <f t="shared" si="29"/>
        <v>0</v>
      </c>
      <c r="AI16" s="29">
        <f t="shared" si="30"/>
        <v>-0.2299999999999999</v>
      </c>
      <c r="AJ16" s="14">
        <f t="shared" si="3"/>
        <v>7.7700000000000005</v>
      </c>
      <c r="AK16" s="34">
        <v>1</v>
      </c>
      <c r="AL16" s="34">
        <v>2</v>
      </c>
      <c r="AM16" s="34">
        <v>2</v>
      </c>
      <c r="AN16" s="34">
        <v>2</v>
      </c>
      <c r="AO16" s="57"/>
      <c r="AP16" s="14">
        <f t="shared" si="31"/>
        <v>7</v>
      </c>
      <c r="AQ16" s="34"/>
      <c r="AR16" s="34"/>
      <c r="AS16" s="49">
        <v>0</v>
      </c>
      <c r="AT16" s="34">
        <v>1</v>
      </c>
      <c r="AU16" s="34">
        <v>2</v>
      </c>
      <c r="AV16" s="34">
        <v>2</v>
      </c>
      <c r="AW16" s="50"/>
      <c r="AX16" s="14">
        <f t="shared" si="32"/>
        <v>6</v>
      </c>
      <c r="AY16" s="57"/>
      <c r="AZ16" s="57"/>
      <c r="BA16" s="57"/>
      <c r="BB16" s="57"/>
      <c r="BC16" s="29">
        <f t="shared" si="33"/>
        <v>0</v>
      </c>
      <c r="BD16" s="50"/>
      <c r="BE16" s="15">
        <v>0.15069444444444444</v>
      </c>
      <c r="BF16" s="49">
        <f t="shared" si="4"/>
        <v>54.21</v>
      </c>
      <c r="BG16" s="34">
        <v>0</v>
      </c>
      <c r="BH16" s="39">
        <f t="shared" si="34"/>
        <v>54.21</v>
      </c>
      <c r="BI16" s="64"/>
      <c r="BM16" s="14">
        <f t="shared" si="5"/>
        <v>1.8999999999999986</v>
      </c>
      <c r="BN16" s="14">
        <f t="shared" si="35"/>
        <v>1</v>
      </c>
      <c r="BO16" s="14">
        <f t="shared" si="36"/>
        <v>0.8999999999999986</v>
      </c>
      <c r="BP16" s="14">
        <f t="shared" si="6"/>
        <v>1</v>
      </c>
      <c r="BR16" s="14">
        <f t="shared" si="7"/>
        <v>2.8</v>
      </c>
      <c r="BS16" s="14">
        <f t="shared" si="37"/>
        <v>2</v>
      </c>
      <c r="BT16" s="14">
        <f t="shared" si="38"/>
        <v>0.7999999999999998</v>
      </c>
      <c r="BU16" s="14">
        <f t="shared" si="8"/>
        <v>1</v>
      </c>
      <c r="BW16" s="14">
        <f t="shared" si="9"/>
        <v>0.8999999999999999</v>
      </c>
      <c r="BX16" s="14">
        <f t="shared" si="39"/>
        <v>0</v>
      </c>
      <c r="BY16" s="14">
        <f t="shared" si="40"/>
        <v>0.8999999999999999</v>
      </c>
      <c r="BZ16" s="14">
        <f t="shared" si="10"/>
        <v>1</v>
      </c>
      <c r="CB16" s="14">
        <f t="shared" si="11"/>
        <v>2.299999999999999</v>
      </c>
      <c r="CC16" s="14">
        <f t="shared" si="41"/>
        <v>2</v>
      </c>
      <c r="CD16" s="14">
        <f t="shared" si="42"/>
        <v>0.29999999999999893</v>
      </c>
      <c r="CE16" s="14">
        <f t="shared" si="12"/>
        <v>1</v>
      </c>
    </row>
    <row r="17" spans="1:83" ht="12.75">
      <c r="A17" s="34">
        <v>8</v>
      </c>
      <c r="B17" s="54" t="str">
        <f>IF(A17="","",VLOOKUP(A17,Жеребьевка!$A$6:$C$45,2,0))</f>
        <v>Фомин Владимир Александрович</v>
      </c>
      <c r="C17" s="34">
        <v>1</v>
      </c>
      <c r="D17" s="34">
        <v>1</v>
      </c>
      <c r="E17" s="14">
        <f t="shared" si="13"/>
        <v>3</v>
      </c>
      <c r="F17" s="28">
        <v>48.1</v>
      </c>
      <c r="G17" s="57"/>
      <c r="H17" s="14">
        <f t="shared" si="14"/>
        <v>0</v>
      </c>
      <c r="I17" s="14">
        <f t="shared" si="15"/>
        <v>0</v>
      </c>
      <c r="J17" s="14">
        <f t="shared" si="16"/>
        <v>1</v>
      </c>
      <c r="K17" s="29">
        <f t="shared" si="17"/>
        <v>0</v>
      </c>
      <c r="L17" s="14">
        <f t="shared" si="0"/>
        <v>0</v>
      </c>
      <c r="M17" s="34">
        <v>5</v>
      </c>
      <c r="N17" s="57"/>
      <c r="O17" s="14">
        <f t="shared" si="18"/>
        <v>10</v>
      </c>
      <c r="P17" s="28">
        <v>9.6</v>
      </c>
      <c r="Q17" s="57"/>
      <c r="R17" s="14">
        <f t="shared" si="19"/>
        <v>0</v>
      </c>
      <c r="S17" s="14">
        <f t="shared" si="20"/>
        <v>0</v>
      </c>
      <c r="T17" s="14">
        <f t="shared" si="21"/>
        <v>0</v>
      </c>
      <c r="U17" s="29">
        <f t="shared" si="22"/>
        <v>-0.05999999999999997</v>
      </c>
      <c r="V17" s="14">
        <f t="shared" si="1"/>
        <v>7.94</v>
      </c>
      <c r="W17" s="28">
        <v>5</v>
      </c>
      <c r="X17" s="57"/>
      <c r="Y17" s="14">
        <f t="shared" si="23"/>
        <v>0</v>
      </c>
      <c r="Z17" s="14">
        <f t="shared" si="24"/>
        <v>0</v>
      </c>
      <c r="AA17" s="14">
        <f t="shared" si="25"/>
        <v>0</v>
      </c>
      <c r="AB17" s="29">
        <f t="shared" si="26"/>
        <v>-0.020000000000000018</v>
      </c>
      <c r="AC17" s="14">
        <f t="shared" si="2"/>
        <v>7.98</v>
      </c>
      <c r="AD17" s="28">
        <v>11.5</v>
      </c>
      <c r="AE17" s="57"/>
      <c r="AF17" s="14">
        <f t="shared" si="27"/>
        <v>0</v>
      </c>
      <c r="AG17" s="14">
        <f t="shared" si="28"/>
        <v>0</v>
      </c>
      <c r="AH17" s="14">
        <f t="shared" si="29"/>
        <v>0</v>
      </c>
      <c r="AI17" s="29">
        <f t="shared" si="30"/>
        <v>-0.06999999999999994</v>
      </c>
      <c r="AJ17" s="14">
        <f t="shared" si="3"/>
        <v>7.93</v>
      </c>
      <c r="AK17" s="34">
        <v>2</v>
      </c>
      <c r="AL17" s="34">
        <v>2</v>
      </c>
      <c r="AM17" s="34">
        <v>2</v>
      </c>
      <c r="AN17" s="34">
        <v>2</v>
      </c>
      <c r="AO17" s="57"/>
      <c r="AP17" s="14">
        <f t="shared" si="31"/>
        <v>8</v>
      </c>
      <c r="AQ17" s="34"/>
      <c r="AR17" s="34"/>
      <c r="AS17" s="49">
        <v>0</v>
      </c>
      <c r="AT17" s="34">
        <v>1</v>
      </c>
      <c r="AU17" s="34">
        <v>2</v>
      </c>
      <c r="AV17" s="34">
        <v>2</v>
      </c>
      <c r="AW17" s="50"/>
      <c r="AX17" s="14">
        <f t="shared" si="32"/>
        <v>6</v>
      </c>
      <c r="AY17" s="57"/>
      <c r="AZ17" s="57"/>
      <c r="BA17" s="57"/>
      <c r="BB17" s="57"/>
      <c r="BC17" s="29">
        <f t="shared" si="33"/>
        <v>0</v>
      </c>
      <c r="BD17" s="50">
        <v>1</v>
      </c>
      <c r="BE17" s="15">
        <v>0.19027777777777777</v>
      </c>
      <c r="BF17" s="49">
        <f t="shared" si="4"/>
        <v>0</v>
      </c>
      <c r="BG17" s="34">
        <v>0</v>
      </c>
      <c r="BH17" s="39">
        <f t="shared" si="34"/>
        <v>0</v>
      </c>
      <c r="BI17" s="64"/>
      <c r="BM17" s="14">
        <f t="shared" si="5"/>
        <v>12.100000000000001</v>
      </c>
      <c r="BN17" s="14">
        <f t="shared" si="35"/>
        <v>12</v>
      </c>
      <c r="BO17" s="14">
        <f t="shared" si="36"/>
        <v>0.10000000000000142</v>
      </c>
      <c r="BP17" s="14">
        <f t="shared" si="6"/>
        <v>0</v>
      </c>
      <c r="BR17" s="14">
        <f t="shared" si="7"/>
        <v>0.5999999999999996</v>
      </c>
      <c r="BS17" s="14">
        <f t="shared" si="37"/>
        <v>0</v>
      </c>
      <c r="BT17" s="14">
        <f t="shared" si="38"/>
        <v>0.5999999999999996</v>
      </c>
      <c r="BU17" s="14">
        <f t="shared" si="8"/>
        <v>1</v>
      </c>
      <c r="BW17" s="14">
        <f t="shared" si="9"/>
        <v>0.20000000000000018</v>
      </c>
      <c r="BX17" s="14">
        <f t="shared" si="39"/>
        <v>0</v>
      </c>
      <c r="BY17" s="14">
        <f t="shared" si="40"/>
        <v>0.20000000000000018</v>
      </c>
      <c r="BZ17" s="14">
        <f t="shared" si="10"/>
        <v>1</v>
      </c>
      <c r="CB17" s="14">
        <f t="shared" si="11"/>
        <v>0.6999999999999993</v>
      </c>
      <c r="CC17" s="14">
        <f t="shared" si="41"/>
        <v>0</v>
      </c>
      <c r="CD17" s="14">
        <f t="shared" si="42"/>
        <v>0.6999999999999993</v>
      </c>
      <c r="CE17" s="14">
        <f t="shared" si="12"/>
        <v>1</v>
      </c>
    </row>
    <row r="18" spans="1:83" ht="12.75">
      <c r="A18" s="34">
        <v>9</v>
      </c>
      <c r="B18" s="54" t="str">
        <f>IF(A18="","",VLOOKUP(A18,Жеребьевка!$A$6:$C$45,2,0))</f>
        <v>Шустров Олег Николаевич</v>
      </c>
      <c r="C18" s="34">
        <v>1</v>
      </c>
      <c r="D18" s="34">
        <v>1</v>
      </c>
      <c r="E18" s="14">
        <f t="shared" si="13"/>
        <v>3</v>
      </c>
      <c r="F18" s="65">
        <v>37.7</v>
      </c>
      <c r="G18" s="57"/>
      <c r="H18" s="14">
        <f t="shared" si="14"/>
        <v>0</v>
      </c>
      <c r="I18" s="14">
        <f t="shared" si="15"/>
        <v>0</v>
      </c>
      <c r="J18" s="14">
        <f t="shared" si="16"/>
        <v>0</v>
      </c>
      <c r="K18" s="29">
        <f t="shared" si="17"/>
        <v>-0.1700000000000003</v>
      </c>
      <c r="L18" s="14">
        <f t="shared" si="0"/>
        <v>7.83</v>
      </c>
      <c r="M18" s="34">
        <v>5</v>
      </c>
      <c r="N18" s="57"/>
      <c r="O18" s="14">
        <f t="shared" si="18"/>
        <v>10</v>
      </c>
      <c r="P18" s="28">
        <v>7.5</v>
      </c>
      <c r="Q18" s="57"/>
      <c r="R18" s="14">
        <f t="shared" si="19"/>
        <v>0</v>
      </c>
      <c r="S18" s="14">
        <f t="shared" si="20"/>
        <v>0</v>
      </c>
      <c r="T18" s="14">
        <f t="shared" si="21"/>
        <v>0</v>
      </c>
      <c r="U18" s="29">
        <f t="shared" si="22"/>
        <v>-0.15000000000000002</v>
      </c>
      <c r="V18" s="14">
        <f t="shared" si="1"/>
        <v>7.85</v>
      </c>
      <c r="W18" s="28">
        <v>4.5</v>
      </c>
      <c r="X18" s="57"/>
      <c r="Y18" s="14">
        <f t="shared" si="23"/>
        <v>0</v>
      </c>
      <c r="Z18" s="14">
        <f t="shared" si="24"/>
        <v>0</v>
      </c>
      <c r="AA18" s="14">
        <f t="shared" si="25"/>
        <v>0</v>
      </c>
      <c r="AB18" s="29">
        <f t="shared" si="26"/>
        <v>-0.029999999999999985</v>
      </c>
      <c r="AC18" s="14">
        <f t="shared" si="2"/>
        <v>7.97</v>
      </c>
      <c r="AD18" s="28">
        <v>10.8</v>
      </c>
      <c r="AE18" s="57"/>
      <c r="AF18" s="14">
        <f t="shared" si="27"/>
        <v>8</v>
      </c>
      <c r="AG18" s="14">
        <f t="shared" si="28"/>
        <v>0</v>
      </c>
      <c r="AH18" s="14">
        <f t="shared" si="29"/>
        <v>0</v>
      </c>
      <c r="AI18" s="29">
        <f t="shared" si="30"/>
        <v>0</v>
      </c>
      <c r="AJ18" s="14">
        <f t="shared" si="3"/>
        <v>8</v>
      </c>
      <c r="AK18" s="34">
        <v>1</v>
      </c>
      <c r="AL18" s="34">
        <v>2</v>
      </c>
      <c r="AM18" s="34">
        <v>2</v>
      </c>
      <c r="AN18" s="34">
        <v>2</v>
      </c>
      <c r="AO18" s="57"/>
      <c r="AP18" s="14">
        <f t="shared" si="31"/>
        <v>7</v>
      </c>
      <c r="AQ18" s="34"/>
      <c r="AR18" s="34"/>
      <c r="AS18" s="49">
        <v>0</v>
      </c>
      <c r="AT18" s="34">
        <v>1</v>
      </c>
      <c r="AU18" s="34">
        <v>2</v>
      </c>
      <c r="AV18" s="34">
        <v>2</v>
      </c>
      <c r="AW18" s="50"/>
      <c r="AX18" s="14">
        <f t="shared" si="32"/>
        <v>6</v>
      </c>
      <c r="AY18" s="57"/>
      <c r="AZ18" s="57"/>
      <c r="BA18" s="57"/>
      <c r="BB18" s="57"/>
      <c r="BC18" s="29">
        <f t="shared" si="33"/>
        <v>0</v>
      </c>
      <c r="BD18" s="50"/>
      <c r="BE18" s="15">
        <v>0.18888888888888888</v>
      </c>
      <c r="BF18" s="49">
        <f t="shared" si="4"/>
        <v>57.65</v>
      </c>
      <c r="BG18" s="34">
        <v>0</v>
      </c>
      <c r="BH18" s="39">
        <f t="shared" si="34"/>
        <v>57.65</v>
      </c>
      <c r="BI18" s="64"/>
      <c r="BM18" s="14">
        <f t="shared" si="5"/>
        <v>1.7000000000000028</v>
      </c>
      <c r="BN18" s="14">
        <f t="shared" si="35"/>
        <v>1</v>
      </c>
      <c r="BO18" s="14">
        <f t="shared" si="36"/>
        <v>0.7000000000000028</v>
      </c>
      <c r="BP18" s="14">
        <f t="shared" si="6"/>
        <v>1</v>
      </c>
      <c r="BR18" s="14">
        <f t="shared" si="7"/>
        <v>1.5</v>
      </c>
      <c r="BS18" s="14">
        <f t="shared" si="37"/>
        <v>1</v>
      </c>
      <c r="BT18" s="14">
        <f t="shared" si="38"/>
        <v>0.5</v>
      </c>
      <c r="BU18" s="14">
        <f t="shared" si="8"/>
        <v>1</v>
      </c>
      <c r="BW18" s="14">
        <f t="shared" si="9"/>
        <v>0.2999999999999998</v>
      </c>
      <c r="BX18" s="14">
        <f t="shared" si="39"/>
        <v>0</v>
      </c>
      <c r="BY18" s="14">
        <f t="shared" si="40"/>
        <v>0.2999999999999998</v>
      </c>
      <c r="BZ18" s="14">
        <f t="shared" si="10"/>
        <v>1</v>
      </c>
      <c r="CB18" s="14">
        <f t="shared" si="11"/>
        <v>0</v>
      </c>
      <c r="CC18" s="14">
        <f t="shared" si="41"/>
        <v>0</v>
      </c>
      <c r="CD18" s="14">
        <f t="shared" si="42"/>
        <v>0</v>
      </c>
      <c r="CE18" s="14">
        <f t="shared" si="12"/>
        <v>1</v>
      </c>
    </row>
    <row r="19" spans="1:83" ht="12.75">
      <c r="A19" s="34">
        <v>10</v>
      </c>
      <c r="B19" s="54" t="str">
        <f>IF(A19="","",VLOOKUP(A19,Жеребьевка!$A$6:$C$45,2,0))</f>
        <v>Логинова Оксана Сергеевна</v>
      </c>
      <c r="C19" s="34">
        <v>1</v>
      </c>
      <c r="D19" s="34">
        <v>0</v>
      </c>
      <c r="E19" s="14">
        <f t="shared" si="13"/>
        <v>1</v>
      </c>
      <c r="F19" s="28">
        <v>46.7</v>
      </c>
      <c r="G19" s="57"/>
      <c r="H19" s="14">
        <f t="shared" si="14"/>
        <v>0</v>
      </c>
      <c r="I19" s="14">
        <f t="shared" si="15"/>
        <v>0</v>
      </c>
      <c r="J19" s="14">
        <f t="shared" si="16"/>
        <v>1</v>
      </c>
      <c r="K19" s="29">
        <f t="shared" si="17"/>
        <v>0</v>
      </c>
      <c r="L19" s="14">
        <f t="shared" si="0"/>
        <v>0</v>
      </c>
      <c r="M19" s="34">
        <v>5</v>
      </c>
      <c r="N19" s="57"/>
      <c r="O19" s="14">
        <f t="shared" si="18"/>
        <v>10</v>
      </c>
      <c r="P19" s="28">
        <v>8.3</v>
      </c>
      <c r="Q19" s="57"/>
      <c r="R19" s="14">
        <f t="shared" si="19"/>
        <v>0</v>
      </c>
      <c r="S19" s="14">
        <f t="shared" si="20"/>
        <v>0</v>
      </c>
      <c r="T19" s="14">
        <f t="shared" si="21"/>
        <v>0</v>
      </c>
      <c r="U19" s="29">
        <f t="shared" si="22"/>
        <v>-0.06999999999999994</v>
      </c>
      <c r="V19" s="14">
        <f t="shared" si="1"/>
        <v>7.93</v>
      </c>
      <c r="W19" s="28">
        <v>4.4</v>
      </c>
      <c r="X19" s="57"/>
      <c r="Y19" s="14">
        <f t="shared" si="23"/>
        <v>0</v>
      </c>
      <c r="Z19" s="14">
        <f t="shared" si="24"/>
        <v>0</v>
      </c>
      <c r="AA19" s="14">
        <f t="shared" si="25"/>
        <v>0</v>
      </c>
      <c r="AB19" s="29">
        <f t="shared" si="26"/>
        <v>-0.03999999999999995</v>
      </c>
      <c r="AC19" s="14">
        <f t="shared" si="2"/>
        <v>7.96</v>
      </c>
      <c r="AD19" s="28">
        <v>9.3</v>
      </c>
      <c r="AE19" s="57"/>
      <c r="AF19" s="14">
        <f t="shared" si="27"/>
        <v>0</v>
      </c>
      <c r="AG19" s="14">
        <f t="shared" si="28"/>
        <v>0</v>
      </c>
      <c r="AH19" s="14">
        <f t="shared" si="29"/>
        <v>0</v>
      </c>
      <c r="AI19" s="29">
        <f t="shared" si="30"/>
        <v>-0.15000000000000002</v>
      </c>
      <c r="AJ19" s="14">
        <f t="shared" si="3"/>
        <v>7.85</v>
      </c>
      <c r="AK19" s="34">
        <v>1</v>
      </c>
      <c r="AL19" s="34">
        <v>2</v>
      </c>
      <c r="AM19" s="34">
        <v>2</v>
      </c>
      <c r="AN19" s="34">
        <v>2</v>
      </c>
      <c r="AO19" s="57"/>
      <c r="AP19" s="14">
        <f t="shared" si="31"/>
        <v>7</v>
      </c>
      <c r="AQ19" s="34"/>
      <c r="AR19" s="34"/>
      <c r="AS19" s="49">
        <v>0</v>
      </c>
      <c r="AT19" s="34">
        <v>2</v>
      </c>
      <c r="AU19" s="34">
        <v>2</v>
      </c>
      <c r="AV19" s="34">
        <v>2</v>
      </c>
      <c r="AW19" s="50"/>
      <c r="AX19" s="14">
        <f t="shared" si="32"/>
        <v>8</v>
      </c>
      <c r="AY19" s="57"/>
      <c r="AZ19" s="57"/>
      <c r="BA19" s="57"/>
      <c r="BB19" s="57"/>
      <c r="BC19" s="29">
        <f t="shared" si="33"/>
        <v>0</v>
      </c>
      <c r="BD19" s="50"/>
      <c r="BE19" s="15">
        <v>0.17708333333333334</v>
      </c>
      <c r="BF19" s="49">
        <f t="shared" si="4"/>
        <v>49.74</v>
      </c>
      <c r="BG19" s="34">
        <v>0</v>
      </c>
      <c r="BH19" s="39">
        <f t="shared" si="34"/>
        <v>49.74</v>
      </c>
      <c r="BI19" s="64"/>
      <c r="BM19" s="14">
        <f t="shared" si="5"/>
        <v>10.700000000000003</v>
      </c>
      <c r="BN19" s="14">
        <f t="shared" si="35"/>
        <v>10</v>
      </c>
      <c r="BO19" s="14">
        <f t="shared" si="36"/>
        <v>0.7000000000000028</v>
      </c>
      <c r="BP19" s="14">
        <f t="shared" si="6"/>
        <v>0</v>
      </c>
      <c r="BR19" s="14">
        <f t="shared" si="7"/>
        <v>0.6999999999999993</v>
      </c>
      <c r="BS19" s="14">
        <f t="shared" si="37"/>
        <v>0</v>
      </c>
      <c r="BT19" s="14">
        <f t="shared" si="38"/>
        <v>0.6999999999999993</v>
      </c>
      <c r="BU19" s="14">
        <f t="shared" si="8"/>
        <v>1</v>
      </c>
      <c r="BW19" s="14">
        <f t="shared" si="9"/>
        <v>0.39999999999999947</v>
      </c>
      <c r="BX19" s="14">
        <f t="shared" si="39"/>
        <v>0</v>
      </c>
      <c r="BY19" s="14">
        <f t="shared" si="40"/>
        <v>0.39999999999999947</v>
      </c>
      <c r="BZ19" s="14">
        <f t="shared" si="10"/>
        <v>1</v>
      </c>
      <c r="CB19" s="14">
        <f t="shared" si="11"/>
        <v>1.5</v>
      </c>
      <c r="CC19" s="14">
        <f t="shared" si="41"/>
        <v>1</v>
      </c>
      <c r="CD19" s="14">
        <f t="shared" si="42"/>
        <v>0.5</v>
      </c>
      <c r="CE19" s="14">
        <f t="shared" si="12"/>
        <v>1</v>
      </c>
    </row>
    <row r="20" spans="1:83" ht="12.75">
      <c r="A20" s="34">
        <v>11</v>
      </c>
      <c r="B20" s="54" t="str">
        <f>IF(A20="","",VLOOKUP(A20,Жеребьевка!$A$6:$C$45,2,0))</f>
        <v>Шахворостова Олеся Владимировна</v>
      </c>
      <c r="C20" s="34">
        <v>1</v>
      </c>
      <c r="D20" s="34">
        <v>1</v>
      </c>
      <c r="E20" s="14">
        <f t="shared" si="13"/>
        <v>3</v>
      </c>
      <c r="F20" s="28">
        <v>37.9</v>
      </c>
      <c r="G20" s="57"/>
      <c r="H20" s="14">
        <f t="shared" si="14"/>
        <v>0</v>
      </c>
      <c r="I20" s="14">
        <f t="shared" si="15"/>
        <v>0</v>
      </c>
      <c r="J20" s="14">
        <f t="shared" si="16"/>
        <v>0</v>
      </c>
      <c r="K20" s="29">
        <f t="shared" si="17"/>
        <v>-0.18999999999999986</v>
      </c>
      <c r="L20" s="14">
        <f t="shared" si="0"/>
        <v>7.8100000000000005</v>
      </c>
      <c r="M20" s="34">
        <v>5</v>
      </c>
      <c r="N20" s="57"/>
      <c r="O20" s="14">
        <f t="shared" si="18"/>
        <v>10</v>
      </c>
      <c r="P20" s="28">
        <v>7.4</v>
      </c>
      <c r="Q20" s="57"/>
      <c r="R20" s="14">
        <f t="shared" si="19"/>
        <v>0</v>
      </c>
      <c r="S20" s="14">
        <f t="shared" si="20"/>
        <v>0</v>
      </c>
      <c r="T20" s="14">
        <f t="shared" si="21"/>
        <v>0</v>
      </c>
      <c r="U20" s="29">
        <f t="shared" si="22"/>
        <v>-0.15999999999999998</v>
      </c>
      <c r="V20" s="14">
        <f t="shared" si="1"/>
        <v>7.84</v>
      </c>
      <c r="W20" s="28">
        <v>4.6</v>
      </c>
      <c r="X20" s="57"/>
      <c r="Y20" s="14">
        <f t="shared" si="23"/>
        <v>0</v>
      </c>
      <c r="Z20" s="14">
        <f t="shared" si="24"/>
        <v>0</v>
      </c>
      <c r="AA20" s="14">
        <f t="shared" si="25"/>
        <v>0</v>
      </c>
      <c r="AB20" s="29">
        <f t="shared" si="26"/>
        <v>-0.020000000000000018</v>
      </c>
      <c r="AC20" s="14">
        <f t="shared" si="2"/>
        <v>7.98</v>
      </c>
      <c r="AD20" s="28">
        <v>10.6</v>
      </c>
      <c r="AE20" s="57"/>
      <c r="AF20" s="14">
        <f t="shared" si="27"/>
        <v>0</v>
      </c>
      <c r="AG20" s="14">
        <f t="shared" si="28"/>
        <v>0</v>
      </c>
      <c r="AH20" s="14">
        <f t="shared" si="29"/>
        <v>0</v>
      </c>
      <c r="AI20" s="29">
        <f t="shared" si="30"/>
        <v>-0.020000000000000108</v>
      </c>
      <c r="AJ20" s="14">
        <f t="shared" si="3"/>
        <v>7.9799999999999995</v>
      </c>
      <c r="AK20" s="34">
        <v>3</v>
      </c>
      <c r="AL20" s="34">
        <v>2</v>
      </c>
      <c r="AM20" s="34">
        <v>2</v>
      </c>
      <c r="AN20" s="34">
        <v>2</v>
      </c>
      <c r="AO20" s="57"/>
      <c r="AP20" s="14">
        <f t="shared" si="31"/>
        <v>9</v>
      </c>
      <c r="AQ20" s="34"/>
      <c r="AR20" s="34"/>
      <c r="AS20" s="49">
        <v>0</v>
      </c>
      <c r="AT20" s="34">
        <v>2</v>
      </c>
      <c r="AU20" s="34">
        <v>2</v>
      </c>
      <c r="AV20" s="34">
        <v>2</v>
      </c>
      <c r="AW20" s="50"/>
      <c r="AX20" s="14">
        <f t="shared" si="32"/>
        <v>8</v>
      </c>
      <c r="AY20" s="57"/>
      <c r="AZ20" s="57"/>
      <c r="BA20" s="57"/>
      <c r="BB20" s="57"/>
      <c r="BC20" s="29">
        <f t="shared" si="33"/>
        <v>0</v>
      </c>
      <c r="BD20" s="50"/>
      <c r="BE20" s="15">
        <v>0.15555555555555556</v>
      </c>
      <c r="BF20" s="49">
        <f t="shared" si="4"/>
        <v>61.61</v>
      </c>
      <c r="BG20" s="34">
        <v>0</v>
      </c>
      <c r="BH20" s="39">
        <f t="shared" si="34"/>
        <v>61.61</v>
      </c>
      <c r="BI20" s="64"/>
      <c r="BM20" s="14">
        <f t="shared" si="5"/>
        <v>1.8999999999999986</v>
      </c>
      <c r="BN20" s="14">
        <f t="shared" si="35"/>
        <v>1</v>
      </c>
      <c r="BO20" s="14">
        <f t="shared" si="36"/>
        <v>0.8999999999999986</v>
      </c>
      <c r="BP20" s="14">
        <f t="shared" si="6"/>
        <v>1</v>
      </c>
      <c r="BR20" s="14">
        <f t="shared" si="7"/>
        <v>1.5999999999999996</v>
      </c>
      <c r="BS20" s="14">
        <f t="shared" si="37"/>
        <v>1</v>
      </c>
      <c r="BT20" s="14">
        <f t="shared" si="38"/>
        <v>0.5999999999999996</v>
      </c>
      <c r="BU20" s="14">
        <f t="shared" si="8"/>
        <v>1</v>
      </c>
      <c r="BW20" s="14">
        <f t="shared" si="9"/>
        <v>0.20000000000000018</v>
      </c>
      <c r="BX20" s="14">
        <f t="shared" si="39"/>
        <v>0</v>
      </c>
      <c r="BY20" s="14">
        <f t="shared" si="40"/>
        <v>0.20000000000000018</v>
      </c>
      <c r="BZ20" s="14">
        <f t="shared" si="10"/>
        <v>1</v>
      </c>
      <c r="CB20" s="14">
        <f t="shared" si="11"/>
        <v>0.20000000000000107</v>
      </c>
      <c r="CC20" s="14">
        <f t="shared" si="41"/>
        <v>0</v>
      </c>
      <c r="CD20" s="14">
        <f t="shared" si="42"/>
        <v>0.20000000000000107</v>
      </c>
      <c r="CE20" s="14">
        <f t="shared" si="12"/>
        <v>1</v>
      </c>
    </row>
    <row r="21" spans="1:83" ht="12.75">
      <c r="A21" s="34">
        <v>12</v>
      </c>
      <c r="B21" s="54" t="str">
        <f>IF(A21="","",VLOOKUP(A21,Жеребьевка!$A$6:$C$45,2,0))</f>
        <v>Бондаренко Станислав Геннадьевич</v>
      </c>
      <c r="C21" s="34">
        <v>1</v>
      </c>
      <c r="D21" s="34">
        <v>0</v>
      </c>
      <c r="E21" s="14">
        <f t="shared" si="13"/>
        <v>1</v>
      </c>
      <c r="F21" s="28">
        <v>36.5</v>
      </c>
      <c r="G21" s="57"/>
      <c r="H21" s="14">
        <f t="shared" si="14"/>
        <v>0</v>
      </c>
      <c r="I21" s="14">
        <f t="shared" si="15"/>
        <v>0</v>
      </c>
      <c r="J21" s="14">
        <f t="shared" si="16"/>
        <v>0</v>
      </c>
      <c r="K21" s="29">
        <f t="shared" si="17"/>
        <v>-0.05</v>
      </c>
      <c r="L21" s="14">
        <f t="shared" si="0"/>
        <v>7.95</v>
      </c>
      <c r="M21" s="34">
        <v>5</v>
      </c>
      <c r="N21" s="57"/>
      <c r="O21" s="14">
        <f t="shared" si="18"/>
        <v>10</v>
      </c>
      <c r="P21" s="28">
        <v>8.6</v>
      </c>
      <c r="Q21" s="57"/>
      <c r="R21" s="14">
        <f t="shared" si="19"/>
        <v>0</v>
      </c>
      <c r="S21" s="14">
        <f t="shared" si="20"/>
        <v>0</v>
      </c>
      <c r="T21" s="14">
        <f t="shared" si="21"/>
        <v>0</v>
      </c>
      <c r="U21" s="29">
        <f t="shared" si="22"/>
        <v>-0.040000000000000036</v>
      </c>
      <c r="V21" s="14">
        <f t="shared" si="1"/>
        <v>7.96</v>
      </c>
      <c r="W21" s="28">
        <v>4.8</v>
      </c>
      <c r="X21" s="57"/>
      <c r="Y21" s="14">
        <f t="shared" si="23"/>
        <v>8</v>
      </c>
      <c r="Z21" s="14">
        <f t="shared" si="24"/>
        <v>0</v>
      </c>
      <c r="AA21" s="14">
        <f t="shared" si="25"/>
        <v>0</v>
      </c>
      <c r="AB21" s="29">
        <f t="shared" si="26"/>
        <v>0</v>
      </c>
      <c r="AC21" s="14">
        <f t="shared" si="2"/>
        <v>8</v>
      </c>
      <c r="AD21" s="28">
        <v>12.5</v>
      </c>
      <c r="AE21" s="57"/>
      <c r="AF21" s="14">
        <f t="shared" si="27"/>
        <v>0</v>
      </c>
      <c r="AG21" s="14">
        <f t="shared" si="28"/>
        <v>0</v>
      </c>
      <c r="AH21" s="14">
        <f t="shared" si="29"/>
        <v>0</v>
      </c>
      <c r="AI21" s="29">
        <f t="shared" si="30"/>
        <v>-0.16999999999999993</v>
      </c>
      <c r="AJ21" s="14">
        <f t="shared" si="3"/>
        <v>7.83</v>
      </c>
      <c r="AK21" s="34">
        <v>3</v>
      </c>
      <c r="AL21" s="34">
        <v>2</v>
      </c>
      <c r="AM21" s="34">
        <v>2</v>
      </c>
      <c r="AN21" s="34">
        <v>0</v>
      </c>
      <c r="AO21" s="57"/>
      <c r="AP21" s="14">
        <f t="shared" si="31"/>
        <v>7</v>
      </c>
      <c r="AQ21" s="34"/>
      <c r="AR21" s="34"/>
      <c r="AS21" s="49">
        <v>0</v>
      </c>
      <c r="AT21" s="34">
        <v>2</v>
      </c>
      <c r="AU21" s="34">
        <v>2</v>
      </c>
      <c r="AV21" s="34">
        <v>2</v>
      </c>
      <c r="AW21" s="50"/>
      <c r="AX21" s="14">
        <f t="shared" si="32"/>
        <v>8</v>
      </c>
      <c r="AY21" s="57"/>
      <c r="AZ21" s="57"/>
      <c r="BA21" s="57"/>
      <c r="BB21" s="57"/>
      <c r="BC21" s="29">
        <f t="shared" si="33"/>
        <v>0</v>
      </c>
      <c r="BD21" s="50">
        <v>1</v>
      </c>
      <c r="BE21" s="15">
        <v>0.18958333333333333</v>
      </c>
      <c r="BF21" s="49">
        <f t="shared" si="4"/>
        <v>0</v>
      </c>
      <c r="BG21" s="34">
        <v>0</v>
      </c>
      <c r="BH21" s="39">
        <f t="shared" si="34"/>
        <v>0</v>
      </c>
      <c r="BI21" s="64"/>
      <c r="BM21" s="14">
        <f t="shared" si="5"/>
        <v>0.5</v>
      </c>
      <c r="BN21" s="14">
        <f t="shared" si="35"/>
        <v>0</v>
      </c>
      <c r="BO21" s="14">
        <f t="shared" si="36"/>
        <v>0.5</v>
      </c>
      <c r="BP21" s="14">
        <f t="shared" si="6"/>
        <v>1</v>
      </c>
      <c r="BR21" s="14">
        <f t="shared" si="7"/>
        <v>0.40000000000000036</v>
      </c>
      <c r="BS21" s="14">
        <f t="shared" si="37"/>
        <v>0</v>
      </c>
      <c r="BT21" s="14">
        <f t="shared" si="38"/>
        <v>0.40000000000000036</v>
      </c>
      <c r="BU21" s="14">
        <f t="shared" si="8"/>
        <v>1</v>
      </c>
      <c r="BW21" s="14">
        <f t="shared" si="9"/>
        <v>0</v>
      </c>
      <c r="BX21" s="14">
        <f t="shared" si="39"/>
        <v>0</v>
      </c>
      <c r="BY21" s="14">
        <f t="shared" si="40"/>
        <v>0</v>
      </c>
      <c r="BZ21" s="14">
        <f t="shared" si="10"/>
        <v>1</v>
      </c>
      <c r="CB21" s="14">
        <f t="shared" si="11"/>
        <v>1.6999999999999993</v>
      </c>
      <c r="CC21" s="14">
        <f t="shared" si="41"/>
        <v>1</v>
      </c>
      <c r="CD21" s="14">
        <f t="shared" si="42"/>
        <v>0.6999999999999993</v>
      </c>
      <c r="CE21" s="14">
        <f t="shared" si="12"/>
        <v>1</v>
      </c>
    </row>
    <row r="22" spans="1:83" ht="12.75">
      <c r="A22" s="34">
        <v>13</v>
      </c>
      <c r="B22" s="54" t="str">
        <f>IF(A22="","",VLOOKUP(A22,Жеребьевка!$A$6:$C$45,2,0))</f>
        <v>Панкин Алексей Владимирович</v>
      </c>
      <c r="C22" s="34">
        <v>1</v>
      </c>
      <c r="D22" s="34">
        <v>0</v>
      </c>
      <c r="E22" s="14">
        <f t="shared" si="13"/>
        <v>1</v>
      </c>
      <c r="F22" s="28">
        <v>47.8</v>
      </c>
      <c r="G22" s="57"/>
      <c r="H22" s="14">
        <f t="shared" si="14"/>
        <v>0</v>
      </c>
      <c r="I22" s="14">
        <f t="shared" si="15"/>
        <v>0</v>
      </c>
      <c r="J22" s="14">
        <f t="shared" si="16"/>
        <v>1</v>
      </c>
      <c r="K22" s="29">
        <f t="shared" si="17"/>
        <v>0</v>
      </c>
      <c r="L22" s="14">
        <f t="shared" si="0"/>
        <v>0</v>
      </c>
      <c r="M22" s="34">
        <v>5</v>
      </c>
      <c r="N22" s="57"/>
      <c r="O22" s="14">
        <f t="shared" si="18"/>
        <v>10</v>
      </c>
      <c r="P22" s="28">
        <v>7.5</v>
      </c>
      <c r="Q22" s="57"/>
      <c r="R22" s="14">
        <f t="shared" si="19"/>
        <v>0</v>
      </c>
      <c r="S22" s="14">
        <f t="shared" si="20"/>
        <v>0</v>
      </c>
      <c r="T22" s="14">
        <f t="shared" si="21"/>
        <v>0</v>
      </c>
      <c r="U22" s="29">
        <f t="shared" si="22"/>
        <v>-0.15000000000000002</v>
      </c>
      <c r="V22" s="14">
        <f t="shared" si="1"/>
        <v>7.85</v>
      </c>
      <c r="W22" s="28">
        <v>4.1</v>
      </c>
      <c r="X22" s="57"/>
      <c r="Y22" s="14">
        <f t="shared" si="23"/>
        <v>0</v>
      </c>
      <c r="Z22" s="14">
        <f t="shared" si="24"/>
        <v>0</v>
      </c>
      <c r="AA22" s="14">
        <f t="shared" si="25"/>
        <v>0</v>
      </c>
      <c r="AB22" s="29">
        <f t="shared" si="26"/>
        <v>-0.07000000000000002</v>
      </c>
      <c r="AC22" s="14">
        <f t="shared" si="2"/>
        <v>7.93</v>
      </c>
      <c r="AD22" s="28">
        <v>11.3</v>
      </c>
      <c r="AE22" s="57"/>
      <c r="AF22" s="14">
        <f t="shared" si="27"/>
        <v>0</v>
      </c>
      <c r="AG22" s="14">
        <f t="shared" si="28"/>
        <v>0</v>
      </c>
      <c r="AH22" s="14">
        <f t="shared" si="29"/>
        <v>0</v>
      </c>
      <c r="AI22" s="29">
        <f t="shared" si="30"/>
        <v>-0.05</v>
      </c>
      <c r="AJ22" s="14">
        <f t="shared" si="3"/>
        <v>7.95</v>
      </c>
      <c r="AK22" s="34">
        <v>2</v>
      </c>
      <c r="AL22" s="34">
        <v>2</v>
      </c>
      <c r="AM22" s="34">
        <v>2</v>
      </c>
      <c r="AN22" s="34">
        <v>2</v>
      </c>
      <c r="AO22" s="57"/>
      <c r="AP22" s="14">
        <f t="shared" si="31"/>
        <v>8</v>
      </c>
      <c r="AQ22" s="34"/>
      <c r="AR22" s="34"/>
      <c r="AS22" s="49">
        <v>0</v>
      </c>
      <c r="AT22" s="34">
        <v>2</v>
      </c>
      <c r="AU22" s="34">
        <v>2</v>
      </c>
      <c r="AV22" s="34">
        <v>2</v>
      </c>
      <c r="AW22" s="50"/>
      <c r="AX22" s="14">
        <f t="shared" si="32"/>
        <v>8</v>
      </c>
      <c r="AY22" s="57"/>
      <c r="AZ22" s="57"/>
      <c r="BA22" s="57"/>
      <c r="BB22" s="57"/>
      <c r="BC22" s="29">
        <f t="shared" si="33"/>
        <v>0</v>
      </c>
      <c r="BD22" s="50"/>
      <c r="BE22" s="15">
        <v>0.18125</v>
      </c>
      <c r="BF22" s="49">
        <f t="shared" si="4"/>
        <v>50.730000000000004</v>
      </c>
      <c r="BG22" s="34">
        <v>0</v>
      </c>
      <c r="BH22" s="39">
        <f t="shared" si="34"/>
        <v>50.730000000000004</v>
      </c>
      <c r="BI22" s="64"/>
      <c r="BM22" s="14">
        <f t="shared" si="5"/>
        <v>11.799999999999997</v>
      </c>
      <c r="BN22" s="14">
        <f t="shared" si="35"/>
        <v>11</v>
      </c>
      <c r="BO22" s="14">
        <f t="shared" si="36"/>
        <v>0.7999999999999972</v>
      </c>
      <c r="BP22" s="14">
        <f t="shared" si="6"/>
        <v>0</v>
      </c>
      <c r="BR22" s="14">
        <f t="shared" si="7"/>
        <v>1.5</v>
      </c>
      <c r="BS22" s="14">
        <f t="shared" si="37"/>
        <v>1</v>
      </c>
      <c r="BT22" s="14">
        <f t="shared" si="38"/>
        <v>0.5</v>
      </c>
      <c r="BU22" s="14">
        <f t="shared" si="8"/>
        <v>1</v>
      </c>
      <c r="BW22" s="14">
        <f t="shared" si="9"/>
        <v>0.7000000000000002</v>
      </c>
      <c r="BX22" s="14">
        <f t="shared" si="39"/>
        <v>0</v>
      </c>
      <c r="BY22" s="14">
        <f t="shared" si="40"/>
        <v>0.7000000000000002</v>
      </c>
      <c r="BZ22" s="14">
        <f t="shared" si="10"/>
        <v>1</v>
      </c>
      <c r="CB22" s="14">
        <f t="shared" si="11"/>
        <v>0.5</v>
      </c>
      <c r="CC22" s="14">
        <f t="shared" si="41"/>
        <v>0</v>
      </c>
      <c r="CD22" s="14">
        <f t="shared" si="42"/>
        <v>0.5</v>
      </c>
      <c r="CE22" s="14">
        <f t="shared" si="12"/>
        <v>1</v>
      </c>
    </row>
    <row r="23" spans="1:83" ht="12.75">
      <c r="A23" s="34">
        <v>14</v>
      </c>
      <c r="B23" s="54" t="str">
        <f>IF(A23="","",VLOOKUP(A23,Жеребьевка!$A$6:$C$45,2,0))</f>
        <v>Скударнов Игорь Сергеевич</v>
      </c>
      <c r="C23" s="34">
        <v>1</v>
      </c>
      <c r="D23" s="34">
        <v>1</v>
      </c>
      <c r="E23" s="14">
        <f t="shared" si="13"/>
        <v>3</v>
      </c>
      <c r="F23" s="28">
        <v>38.3</v>
      </c>
      <c r="G23" s="57"/>
      <c r="H23" s="14">
        <f t="shared" si="14"/>
        <v>0</v>
      </c>
      <c r="I23" s="14">
        <f t="shared" si="15"/>
        <v>0</v>
      </c>
      <c r="J23" s="14">
        <f t="shared" si="16"/>
        <v>0</v>
      </c>
      <c r="K23" s="29">
        <f t="shared" si="17"/>
        <v>-0.22999999999999973</v>
      </c>
      <c r="L23" s="14">
        <f t="shared" si="0"/>
        <v>7.7700000000000005</v>
      </c>
      <c r="M23" s="34">
        <v>5</v>
      </c>
      <c r="N23" s="57"/>
      <c r="O23" s="14">
        <f t="shared" si="18"/>
        <v>10</v>
      </c>
      <c r="P23" s="28">
        <v>8.5</v>
      </c>
      <c r="Q23" s="57"/>
      <c r="R23" s="14">
        <f t="shared" si="19"/>
        <v>0</v>
      </c>
      <c r="S23" s="14">
        <f t="shared" si="20"/>
        <v>0</v>
      </c>
      <c r="T23" s="14">
        <f t="shared" si="21"/>
        <v>0</v>
      </c>
      <c r="U23" s="29">
        <f t="shared" si="22"/>
        <v>-0.05</v>
      </c>
      <c r="V23" s="14">
        <f t="shared" si="1"/>
        <v>7.95</v>
      </c>
      <c r="W23" s="28">
        <v>5.1</v>
      </c>
      <c r="X23" s="57"/>
      <c r="Y23" s="14">
        <f t="shared" si="23"/>
        <v>0</v>
      </c>
      <c r="Z23" s="14">
        <f t="shared" si="24"/>
        <v>0</v>
      </c>
      <c r="AA23" s="14">
        <f t="shared" si="25"/>
        <v>0</v>
      </c>
      <c r="AB23" s="29">
        <f t="shared" si="26"/>
        <v>-0.029999999999999985</v>
      </c>
      <c r="AC23" s="14">
        <f t="shared" si="2"/>
        <v>7.97</v>
      </c>
      <c r="AD23" s="28">
        <v>11.5</v>
      </c>
      <c r="AE23" s="57"/>
      <c r="AF23" s="14">
        <f t="shared" si="27"/>
        <v>0</v>
      </c>
      <c r="AG23" s="14">
        <f t="shared" si="28"/>
        <v>0</v>
      </c>
      <c r="AH23" s="14">
        <f t="shared" si="29"/>
        <v>0</v>
      </c>
      <c r="AI23" s="29">
        <f t="shared" si="30"/>
        <v>-0.06999999999999994</v>
      </c>
      <c r="AJ23" s="14">
        <f t="shared" si="3"/>
        <v>7.93</v>
      </c>
      <c r="AK23" s="34">
        <v>3</v>
      </c>
      <c r="AL23" s="34">
        <v>2</v>
      </c>
      <c r="AM23" s="34">
        <v>2</v>
      </c>
      <c r="AN23" s="34">
        <v>2</v>
      </c>
      <c r="AO23" s="57"/>
      <c r="AP23" s="14">
        <f t="shared" si="31"/>
        <v>9</v>
      </c>
      <c r="AQ23" s="34"/>
      <c r="AR23" s="34"/>
      <c r="AS23" s="49">
        <v>0</v>
      </c>
      <c r="AT23" s="34">
        <v>3</v>
      </c>
      <c r="AU23" s="34">
        <v>2</v>
      </c>
      <c r="AV23" s="34">
        <v>0</v>
      </c>
      <c r="AW23" s="50"/>
      <c r="AX23" s="14">
        <f t="shared" si="32"/>
        <v>8</v>
      </c>
      <c r="AY23" s="57"/>
      <c r="AZ23" s="57"/>
      <c r="BA23" s="57"/>
      <c r="BB23" s="57"/>
      <c r="BC23" s="29">
        <f t="shared" si="33"/>
        <v>0</v>
      </c>
      <c r="BD23" s="50"/>
      <c r="BE23" s="15">
        <v>0.1840277777777778</v>
      </c>
      <c r="BF23" s="49">
        <f t="shared" si="4"/>
        <v>61.62</v>
      </c>
      <c r="BG23" s="34">
        <v>0</v>
      </c>
      <c r="BH23" s="39">
        <f t="shared" si="34"/>
        <v>61.62</v>
      </c>
      <c r="BI23" s="64"/>
      <c r="BM23" s="14">
        <f t="shared" si="5"/>
        <v>2.299999999999997</v>
      </c>
      <c r="BN23" s="14">
        <f t="shared" si="35"/>
        <v>2</v>
      </c>
      <c r="BO23" s="14">
        <f t="shared" si="36"/>
        <v>0.29999999999999716</v>
      </c>
      <c r="BP23" s="14">
        <f t="shared" si="6"/>
        <v>1</v>
      </c>
      <c r="BR23" s="14">
        <f t="shared" si="7"/>
        <v>0.5</v>
      </c>
      <c r="BS23" s="14">
        <f t="shared" si="37"/>
        <v>0</v>
      </c>
      <c r="BT23" s="14">
        <f t="shared" si="38"/>
        <v>0.5</v>
      </c>
      <c r="BU23" s="14">
        <f t="shared" si="8"/>
        <v>1</v>
      </c>
      <c r="BW23" s="14">
        <f t="shared" si="9"/>
        <v>0.2999999999999998</v>
      </c>
      <c r="BX23" s="14">
        <f t="shared" si="39"/>
        <v>0</v>
      </c>
      <c r="BY23" s="14">
        <f t="shared" si="40"/>
        <v>0.2999999999999998</v>
      </c>
      <c r="BZ23" s="14">
        <f t="shared" si="10"/>
        <v>1</v>
      </c>
      <c r="CB23" s="14">
        <f t="shared" si="11"/>
        <v>0.6999999999999993</v>
      </c>
      <c r="CC23" s="14">
        <f t="shared" si="41"/>
        <v>0</v>
      </c>
      <c r="CD23" s="14">
        <f t="shared" si="42"/>
        <v>0.6999999999999993</v>
      </c>
      <c r="CE23" s="14">
        <f t="shared" si="12"/>
        <v>1</v>
      </c>
    </row>
    <row r="24" spans="1:83" ht="12.75">
      <c r="A24" s="34">
        <v>15</v>
      </c>
      <c r="B24" s="54" t="str">
        <f>IF(A24="","",VLOOKUP(A24,Жеребьевка!$A$6:$C$45,2,0))</f>
        <v>Грабилова Евгения Вячеславовна</v>
      </c>
      <c r="C24" s="34">
        <v>0</v>
      </c>
      <c r="D24" s="34">
        <v>0</v>
      </c>
      <c r="E24" s="14">
        <f t="shared" si="13"/>
        <v>0</v>
      </c>
      <c r="F24" s="28">
        <v>35.7</v>
      </c>
      <c r="G24" s="57"/>
      <c r="H24" s="14">
        <f t="shared" si="14"/>
        <v>0</v>
      </c>
      <c r="I24" s="14">
        <f t="shared" si="15"/>
        <v>0</v>
      </c>
      <c r="J24" s="14">
        <f t="shared" si="16"/>
        <v>0</v>
      </c>
      <c r="K24" s="29">
        <f t="shared" si="17"/>
        <v>-0.029999999999999718</v>
      </c>
      <c r="L24" s="14">
        <f t="shared" si="0"/>
        <v>7.970000000000001</v>
      </c>
      <c r="M24" s="34">
        <v>5</v>
      </c>
      <c r="N24" s="57"/>
      <c r="O24" s="14">
        <f t="shared" si="18"/>
        <v>10</v>
      </c>
      <c r="P24" s="28">
        <v>8.2</v>
      </c>
      <c r="Q24" s="57"/>
      <c r="R24" s="14">
        <f t="shared" si="19"/>
        <v>0</v>
      </c>
      <c r="S24" s="14">
        <f t="shared" si="20"/>
        <v>0</v>
      </c>
      <c r="T24" s="14">
        <f t="shared" si="21"/>
        <v>0</v>
      </c>
      <c r="U24" s="29">
        <f t="shared" si="22"/>
        <v>-0.08000000000000007</v>
      </c>
      <c r="V24" s="14">
        <f t="shared" si="1"/>
        <v>7.92</v>
      </c>
      <c r="W24" s="28">
        <v>4.2</v>
      </c>
      <c r="X24" s="57"/>
      <c r="Y24" s="14">
        <f t="shared" si="23"/>
        <v>0</v>
      </c>
      <c r="Z24" s="14">
        <f t="shared" si="24"/>
        <v>0</v>
      </c>
      <c r="AA24" s="14">
        <f t="shared" si="25"/>
        <v>0</v>
      </c>
      <c r="AB24" s="29">
        <f t="shared" si="26"/>
        <v>-0.05999999999999997</v>
      </c>
      <c r="AC24" s="14">
        <f t="shared" si="2"/>
        <v>7.94</v>
      </c>
      <c r="AD24" s="28">
        <v>11.2</v>
      </c>
      <c r="AE24" s="57"/>
      <c r="AF24" s="14">
        <f t="shared" si="27"/>
        <v>0</v>
      </c>
      <c r="AG24" s="14">
        <f t="shared" si="28"/>
        <v>0</v>
      </c>
      <c r="AH24" s="14">
        <f t="shared" si="29"/>
        <v>0</v>
      </c>
      <c r="AI24" s="29">
        <f t="shared" si="30"/>
        <v>-0.03999999999999986</v>
      </c>
      <c r="AJ24" s="14">
        <f t="shared" si="3"/>
        <v>7.96</v>
      </c>
      <c r="AK24" s="34">
        <v>1</v>
      </c>
      <c r="AL24" s="34">
        <v>2</v>
      </c>
      <c r="AM24" s="34">
        <v>2</v>
      </c>
      <c r="AN24" s="34">
        <v>2</v>
      </c>
      <c r="AO24" s="57"/>
      <c r="AP24" s="14">
        <f t="shared" si="31"/>
        <v>7</v>
      </c>
      <c r="AQ24" s="34"/>
      <c r="AR24" s="34"/>
      <c r="AS24" s="49">
        <v>0</v>
      </c>
      <c r="AT24" s="34">
        <v>1</v>
      </c>
      <c r="AU24" s="34">
        <v>2</v>
      </c>
      <c r="AV24" s="34">
        <v>2</v>
      </c>
      <c r="AW24" s="50">
        <v>1</v>
      </c>
      <c r="AX24" s="14">
        <f t="shared" si="32"/>
        <v>0</v>
      </c>
      <c r="AY24" s="57"/>
      <c r="AZ24" s="57"/>
      <c r="BA24" s="57"/>
      <c r="BB24" s="57"/>
      <c r="BC24" s="29">
        <f t="shared" si="33"/>
        <v>0</v>
      </c>
      <c r="BD24" s="50"/>
      <c r="BE24" s="15">
        <v>0.13819444444444443</v>
      </c>
      <c r="BF24" s="49">
        <f t="shared" si="4"/>
        <v>48.79</v>
      </c>
      <c r="BG24" s="34">
        <v>0</v>
      </c>
      <c r="BH24" s="39">
        <f t="shared" si="34"/>
        <v>48.79</v>
      </c>
      <c r="BI24" s="64"/>
      <c r="BM24" s="14">
        <f t="shared" si="5"/>
        <v>0.29999999999999716</v>
      </c>
      <c r="BN24" s="14">
        <f t="shared" si="35"/>
        <v>0</v>
      </c>
      <c r="BO24" s="14">
        <f t="shared" si="36"/>
        <v>0.29999999999999716</v>
      </c>
      <c r="BP24" s="14">
        <f t="shared" si="6"/>
        <v>1</v>
      </c>
      <c r="BR24" s="14">
        <f t="shared" si="7"/>
        <v>0.8000000000000007</v>
      </c>
      <c r="BS24" s="14">
        <f t="shared" si="37"/>
        <v>0</v>
      </c>
      <c r="BT24" s="14">
        <f t="shared" si="38"/>
        <v>0.8000000000000007</v>
      </c>
      <c r="BU24" s="14">
        <f t="shared" si="8"/>
        <v>1</v>
      </c>
      <c r="BW24" s="14">
        <f t="shared" si="9"/>
        <v>0.5999999999999996</v>
      </c>
      <c r="BX24" s="14">
        <f t="shared" si="39"/>
        <v>0</v>
      </c>
      <c r="BY24" s="14">
        <f t="shared" si="40"/>
        <v>0.5999999999999996</v>
      </c>
      <c r="BZ24" s="14">
        <f t="shared" si="10"/>
        <v>1</v>
      </c>
      <c r="CB24" s="14">
        <f t="shared" si="11"/>
        <v>0.3999999999999986</v>
      </c>
      <c r="CC24" s="14">
        <f t="shared" si="41"/>
        <v>0</v>
      </c>
      <c r="CD24" s="14">
        <f t="shared" si="42"/>
        <v>0.3999999999999986</v>
      </c>
      <c r="CE24" s="14">
        <f t="shared" si="12"/>
        <v>1</v>
      </c>
    </row>
    <row r="25" spans="1:83" ht="12.75">
      <c r="A25" s="34">
        <v>16</v>
      </c>
      <c r="B25" s="54" t="str">
        <f>IF(A25="","",VLOOKUP(A25,Жеребьевка!$A$6:$C$45,2,0))</f>
        <v>Поляков Денис Анатольевич</v>
      </c>
      <c r="C25" s="34">
        <v>1</v>
      </c>
      <c r="D25" s="34">
        <v>0</v>
      </c>
      <c r="E25" s="14">
        <f t="shared" si="13"/>
        <v>1</v>
      </c>
      <c r="F25" s="28">
        <v>41.6</v>
      </c>
      <c r="G25" s="57"/>
      <c r="H25" s="14">
        <f t="shared" si="14"/>
        <v>0</v>
      </c>
      <c r="I25" s="14">
        <f t="shared" si="15"/>
        <v>0</v>
      </c>
      <c r="J25" s="14">
        <f t="shared" si="16"/>
        <v>1</v>
      </c>
      <c r="K25" s="29">
        <f t="shared" si="17"/>
        <v>0</v>
      </c>
      <c r="L25" s="14">
        <f t="shared" si="0"/>
        <v>0</v>
      </c>
      <c r="M25" s="34">
        <v>5</v>
      </c>
      <c r="N25" s="57"/>
      <c r="O25" s="14">
        <f t="shared" si="18"/>
        <v>10</v>
      </c>
      <c r="P25" s="28">
        <v>5.3</v>
      </c>
      <c r="Q25" s="57"/>
      <c r="R25" s="14">
        <f t="shared" si="19"/>
        <v>0</v>
      </c>
      <c r="S25" s="14">
        <f t="shared" si="20"/>
        <v>1</v>
      </c>
      <c r="T25" s="14">
        <f t="shared" si="21"/>
        <v>0</v>
      </c>
      <c r="U25" s="29">
        <f t="shared" si="22"/>
        <v>0</v>
      </c>
      <c r="V25" s="14">
        <f t="shared" si="1"/>
        <v>0</v>
      </c>
      <c r="W25" s="28">
        <v>3.7</v>
      </c>
      <c r="X25" s="57"/>
      <c r="Y25" s="14">
        <f t="shared" si="23"/>
        <v>0</v>
      </c>
      <c r="Z25" s="14">
        <f t="shared" si="24"/>
        <v>0</v>
      </c>
      <c r="AA25" s="14">
        <f t="shared" si="25"/>
        <v>0</v>
      </c>
      <c r="AB25" s="29">
        <f t="shared" si="26"/>
        <v>-0.10999999999999997</v>
      </c>
      <c r="AC25" s="14">
        <f t="shared" si="2"/>
        <v>7.89</v>
      </c>
      <c r="AD25" s="28">
        <v>11.2</v>
      </c>
      <c r="AE25" s="57"/>
      <c r="AF25" s="14">
        <f t="shared" si="27"/>
        <v>0</v>
      </c>
      <c r="AG25" s="14">
        <f t="shared" si="28"/>
        <v>0</v>
      </c>
      <c r="AH25" s="14">
        <f t="shared" si="29"/>
        <v>0</v>
      </c>
      <c r="AI25" s="29">
        <f t="shared" si="30"/>
        <v>-0.03999999999999986</v>
      </c>
      <c r="AJ25" s="14">
        <f t="shared" si="3"/>
        <v>7.96</v>
      </c>
      <c r="AK25" s="34">
        <v>3</v>
      </c>
      <c r="AL25" s="34">
        <v>2</v>
      </c>
      <c r="AM25" s="34">
        <v>2</v>
      </c>
      <c r="AN25" s="34">
        <v>0</v>
      </c>
      <c r="AO25" s="57"/>
      <c r="AP25" s="14">
        <f t="shared" si="31"/>
        <v>7</v>
      </c>
      <c r="AQ25" s="34"/>
      <c r="AR25" s="34"/>
      <c r="AS25" s="49">
        <v>0</v>
      </c>
      <c r="AT25" s="34">
        <v>2</v>
      </c>
      <c r="AU25" s="34">
        <v>0</v>
      </c>
      <c r="AV25" s="34">
        <v>2</v>
      </c>
      <c r="AW25" s="50"/>
      <c r="AX25" s="14">
        <f t="shared" si="32"/>
        <v>6</v>
      </c>
      <c r="AY25" s="57"/>
      <c r="AZ25" s="57"/>
      <c r="BA25" s="57"/>
      <c r="BB25" s="57"/>
      <c r="BC25" s="29">
        <f t="shared" si="33"/>
        <v>0</v>
      </c>
      <c r="BD25" s="50"/>
      <c r="BE25" s="15">
        <v>0.17916666666666667</v>
      </c>
      <c r="BF25" s="49">
        <f t="shared" si="4"/>
        <v>39.85</v>
      </c>
      <c r="BG25" s="34">
        <v>0</v>
      </c>
      <c r="BH25" s="39">
        <f t="shared" si="34"/>
        <v>39.85</v>
      </c>
      <c r="BI25" s="64"/>
      <c r="BM25" s="14">
        <f t="shared" si="5"/>
        <v>5.600000000000001</v>
      </c>
      <c r="BN25" s="14">
        <f t="shared" si="35"/>
        <v>5</v>
      </c>
      <c r="BO25" s="14">
        <f t="shared" si="36"/>
        <v>0.6000000000000014</v>
      </c>
      <c r="BP25" s="14">
        <f t="shared" si="6"/>
        <v>0</v>
      </c>
      <c r="BR25" s="14">
        <f t="shared" si="7"/>
        <v>3.7</v>
      </c>
      <c r="BS25" s="14">
        <f t="shared" si="37"/>
        <v>3</v>
      </c>
      <c r="BT25" s="14">
        <f t="shared" si="38"/>
        <v>0.7000000000000002</v>
      </c>
      <c r="BU25" s="14">
        <f t="shared" si="8"/>
        <v>0</v>
      </c>
      <c r="BW25" s="14">
        <f t="shared" si="9"/>
        <v>1.0999999999999996</v>
      </c>
      <c r="BX25" s="14">
        <f t="shared" si="39"/>
        <v>1</v>
      </c>
      <c r="BY25" s="14">
        <f t="shared" si="40"/>
        <v>0.09999999999999964</v>
      </c>
      <c r="BZ25" s="14">
        <f t="shared" si="10"/>
        <v>1</v>
      </c>
      <c r="CB25" s="14">
        <f t="shared" si="11"/>
        <v>0.3999999999999986</v>
      </c>
      <c r="CC25" s="14">
        <f t="shared" si="41"/>
        <v>0</v>
      </c>
      <c r="CD25" s="14">
        <f t="shared" si="42"/>
        <v>0.3999999999999986</v>
      </c>
      <c r="CE25" s="14">
        <f t="shared" si="12"/>
        <v>1</v>
      </c>
    </row>
    <row r="26" spans="1:83" ht="12.75">
      <c r="A26" s="34">
        <v>17</v>
      </c>
      <c r="B26" s="54" t="str">
        <f>IF(A26="","",VLOOKUP(A26,Жеребьевка!$A$6:$C$45,2,0))</f>
        <v>Ефремов Александр Николаевич</v>
      </c>
      <c r="C26" s="34">
        <v>1</v>
      </c>
      <c r="D26" s="34">
        <v>1</v>
      </c>
      <c r="E26" s="14">
        <f t="shared" si="13"/>
        <v>3</v>
      </c>
      <c r="F26" s="28">
        <v>39.8</v>
      </c>
      <c r="G26" s="57"/>
      <c r="H26" s="14">
        <f t="shared" si="14"/>
        <v>0</v>
      </c>
      <c r="I26" s="14">
        <f t="shared" si="15"/>
        <v>0</v>
      </c>
      <c r="J26" s="14">
        <f t="shared" si="16"/>
        <v>1</v>
      </c>
      <c r="K26" s="29">
        <f t="shared" si="17"/>
        <v>0</v>
      </c>
      <c r="L26" s="14">
        <f t="shared" si="0"/>
        <v>0</v>
      </c>
      <c r="M26" s="34">
        <v>5</v>
      </c>
      <c r="N26" s="57"/>
      <c r="O26" s="14">
        <f t="shared" si="18"/>
        <v>10</v>
      </c>
      <c r="P26" s="28">
        <v>9</v>
      </c>
      <c r="Q26" s="57"/>
      <c r="R26" s="14">
        <f t="shared" si="19"/>
        <v>8</v>
      </c>
      <c r="S26" s="14">
        <f t="shared" si="20"/>
        <v>0</v>
      </c>
      <c r="T26" s="14">
        <f t="shared" si="21"/>
        <v>0</v>
      </c>
      <c r="U26" s="29">
        <f t="shared" si="22"/>
        <v>0</v>
      </c>
      <c r="V26" s="14">
        <f t="shared" si="1"/>
        <v>8</v>
      </c>
      <c r="W26" s="28">
        <v>5</v>
      </c>
      <c r="X26" s="57"/>
      <c r="Y26" s="14">
        <f t="shared" si="23"/>
        <v>0</v>
      </c>
      <c r="Z26" s="14">
        <f t="shared" si="24"/>
        <v>0</v>
      </c>
      <c r="AA26" s="14">
        <f t="shared" si="25"/>
        <v>0</v>
      </c>
      <c r="AB26" s="29">
        <f t="shared" si="26"/>
        <v>-0.020000000000000018</v>
      </c>
      <c r="AC26" s="14">
        <f t="shared" si="2"/>
        <v>7.98</v>
      </c>
      <c r="AD26" s="28">
        <v>14.6</v>
      </c>
      <c r="AE26" s="57"/>
      <c r="AF26" s="14">
        <f t="shared" si="27"/>
        <v>0</v>
      </c>
      <c r="AG26" s="14">
        <f t="shared" si="28"/>
        <v>0</v>
      </c>
      <c r="AH26" s="14">
        <f t="shared" si="29"/>
        <v>1</v>
      </c>
      <c r="AI26" s="29">
        <f t="shared" si="30"/>
        <v>0</v>
      </c>
      <c r="AJ26" s="14">
        <f t="shared" si="3"/>
        <v>0</v>
      </c>
      <c r="AK26" s="34">
        <v>3</v>
      </c>
      <c r="AL26" s="34">
        <v>2</v>
      </c>
      <c r="AM26" s="34">
        <v>2</v>
      </c>
      <c r="AN26" s="34">
        <v>0</v>
      </c>
      <c r="AO26" s="57"/>
      <c r="AP26" s="14">
        <f t="shared" si="31"/>
        <v>7</v>
      </c>
      <c r="AQ26" s="34"/>
      <c r="AR26" s="34"/>
      <c r="AS26" s="49">
        <v>0</v>
      </c>
      <c r="AT26" s="34">
        <v>1</v>
      </c>
      <c r="AU26" s="34">
        <v>0</v>
      </c>
      <c r="AV26" s="34">
        <v>2</v>
      </c>
      <c r="AW26" s="50">
        <v>1</v>
      </c>
      <c r="AX26" s="14">
        <f t="shared" si="32"/>
        <v>0</v>
      </c>
      <c r="AY26" s="57"/>
      <c r="AZ26" s="57"/>
      <c r="BA26" s="57"/>
      <c r="BB26" s="57"/>
      <c r="BC26" s="29">
        <f t="shared" si="33"/>
        <v>0</v>
      </c>
      <c r="BD26" s="50"/>
      <c r="BE26" s="15">
        <v>0.1638888888888889</v>
      </c>
      <c r="BF26" s="49">
        <f t="shared" si="4"/>
        <v>35.980000000000004</v>
      </c>
      <c r="BG26" s="34">
        <v>0</v>
      </c>
      <c r="BH26" s="39">
        <f t="shared" si="34"/>
        <v>35.980000000000004</v>
      </c>
      <c r="BI26" s="64"/>
      <c r="BM26" s="14">
        <f t="shared" si="5"/>
        <v>3.799999999999997</v>
      </c>
      <c r="BN26" s="14">
        <f t="shared" si="35"/>
        <v>3</v>
      </c>
      <c r="BO26" s="14">
        <f t="shared" si="36"/>
        <v>0.7999999999999972</v>
      </c>
      <c r="BP26" s="14">
        <f t="shared" si="6"/>
        <v>0</v>
      </c>
      <c r="BR26" s="14">
        <f t="shared" si="7"/>
        <v>0</v>
      </c>
      <c r="BS26" s="14">
        <f t="shared" si="37"/>
        <v>0</v>
      </c>
      <c r="BT26" s="14">
        <f t="shared" si="38"/>
        <v>0</v>
      </c>
      <c r="BU26" s="14">
        <f t="shared" si="8"/>
        <v>1</v>
      </c>
      <c r="BW26" s="14">
        <f t="shared" si="9"/>
        <v>0.20000000000000018</v>
      </c>
      <c r="BX26" s="14">
        <f t="shared" si="39"/>
        <v>0</v>
      </c>
      <c r="BY26" s="14">
        <f t="shared" si="40"/>
        <v>0.20000000000000018</v>
      </c>
      <c r="BZ26" s="14">
        <f t="shared" si="10"/>
        <v>1</v>
      </c>
      <c r="CB26" s="14">
        <f t="shared" si="11"/>
        <v>3.799999999999999</v>
      </c>
      <c r="CC26" s="14">
        <f t="shared" si="41"/>
        <v>3</v>
      </c>
      <c r="CD26" s="14">
        <f t="shared" si="42"/>
        <v>0.7999999999999989</v>
      </c>
      <c r="CE26" s="14">
        <f t="shared" si="12"/>
        <v>0</v>
      </c>
    </row>
    <row r="27" spans="1:83" ht="12.75">
      <c r="A27" s="34">
        <v>18</v>
      </c>
      <c r="B27" s="54" t="str">
        <f>IF(A27="","",VLOOKUP(A27,Жеребьевка!$A$6:$C$45,2,0))</f>
        <v>Володина Анастасия Александровна</v>
      </c>
      <c r="C27" s="34">
        <v>1</v>
      </c>
      <c r="D27" s="34">
        <v>0</v>
      </c>
      <c r="E27" s="14">
        <f t="shared" si="13"/>
        <v>1</v>
      </c>
      <c r="F27" s="28">
        <v>35.8</v>
      </c>
      <c r="G27" s="57"/>
      <c r="H27" s="14">
        <f t="shared" si="14"/>
        <v>0</v>
      </c>
      <c r="I27" s="14">
        <f t="shared" si="15"/>
        <v>0</v>
      </c>
      <c r="J27" s="14">
        <f t="shared" si="16"/>
        <v>0</v>
      </c>
      <c r="K27" s="29">
        <f t="shared" si="17"/>
        <v>-0.020000000000000285</v>
      </c>
      <c r="L27" s="14">
        <f t="shared" si="0"/>
        <v>7.9799999999999995</v>
      </c>
      <c r="M27" s="34">
        <v>5</v>
      </c>
      <c r="N27" s="57"/>
      <c r="O27" s="14">
        <f t="shared" si="18"/>
        <v>10</v>
      </c>
      <c r="P27" s="28">
        <v>5.3</v>
      </c>
      <c r="Q27" s="57"/>
      <c r="R27" s="14">
        <f t="shared" si="19"/>
        <v>0</v>
      </c>
      <c r="S27" s="14">
        <f t="shared" si="20"/>
        <v>1</v>
      </c>
      <c r="T27" s="14">
        <f t="shared" si="21"/>
        <v>0</v>
      </c>
      <c r="U27" s="29">
        <f t="shared" si="22"/>
        <v>0</v>
      </c>
      <c r="V27" s="14">
        <f t="shared" si="1"/>
        <v>0</v>
      </c>
      <c r="W27" s="28">
        <v>3.4</v>
      </c>
      <c r="X27" s="57"/>
      <c r="Y27" s="14">
        <f t="shared" si="23"/>
        <v>0</v>
      </c>
      <c r="Z27" s="14">
        <f t="shared" si="24"/>
        <v>0</v>
      </c>
      <c r="AA27" s="14">
        <f t="shared" si="25"/>
        <v>0</v>
      </c>
      <c r="AB27" s="29">
        <f t="shared" si="26"/>
        <v>-0.14</v>
      </c>
      <c r="AC27" s="14">
        <f t="shared" si="2"/>
        <v>7.86</v>
      </c>
      <c r="AD27" s="28">
        <v>10.9</v>
      </c>
      <c r="AE27" s="57"/>
      <c r="AF27" s="14">
        <f t="shared" si="27"/>
        <v>0</v>
      </c>
      <c r="AG27" s="14">
        <f t="shared" si="28"/>
        <v>0</v>
      </c>
      <c r="AH27" s="14">
        <f t="shared" si="29"/>
        <v>0</v>
      </c>
      <c r="AI27" s="29">
        <f t="shared" si="30"/>
        <v>-0.009999999999999966</v>
      </c>
      <c r="AJ27" s="14">
        <f t="shared" si="3"/>
        <v>7.99</v>
      </c>
      <c r="AK27" s="34">
        <v>2</v>
      </c>
      <c r="AL27" s="34">
        <v>2</v>
      </c>
      <c r="AM27" s="34">
        <v>2</v>
      </c>
      <c r="AN27" s="34">
        <v>2</v>
      </c>
      <c r="AO27" s="57"/>
      <c r="AP27" s="14">
        <f t="shared" si="31"/>
        <v>8</v>
      </c>
      <c r="AQ27" s="34"/>
      <c r="AR27" s="34"/>
      <c r="AS27" s="49">
        <v>0</v>
      </c>
      <c r="AT27" s="34">
        <v>1</v>
      </c>
      <c r="AU27" s="34">
        <v>2</v>
      </c>
      <c r="AV27" s="34">
        <v>0</v>
      </c>
      <c r="AW27" s="50"/>
      <c r="AX27" s="14">
        <f t="shared" si="32"/>
        <v>4</v>
      </c>
      <c r="AY27" s="57"/>
      <c r="AZ27" s="57"/>
      <c r="BA27" s="57"/>
      <c r="BB27" s="57"/>
      <c r="BC27" s="29">
        <f t="shared" si="33"/>
        <v>0</v>
      </c>
      <c r="BD27" s="50"/>
      <c r="BE27" s="15">
        <v>0.14791666666666667</v>
      </c>
      <c r="BF27" s="49">
        <f t="shared" si="4"/>
        <v>46.83</v>
      </c>
      <c r="BG27" s="34">
        <v>0</v>
      </c>
      <c r="BH27" s="39">
        <f t="shared" si="34"/>
        <v>46.83</v>
      </c>
      <c r="BI27" s="64"/>
      <c r="BM27" s="14">
        <f t="shared" si="5"/>
        <v>0.20000000000000284</v>
      </c>
      <c r="BN27" s="14">
        <f t="shared" si="35"/>
        <v>0</v>
      </c>
      <c r="BO27" s="14">
        <f t="shared" si="36"/>
        <v>0.20000000000000284</v>
      </c>
      <c r="BP27" s="14">
        <f t="shared" si="6"/>
        <v>1</v>
      </c>
      <c r="BR27" s="14">
        <f t="shared" si="7"/>
        <v>3.7</v>
      </c>
      <c r="BS27" s="14">
        <f t="shared" si="37"/>
        <v>3</v>
      </c>
      <c r="BT27" s="14">
        <f t="shared" si="38"/>
        <v>0.7000000000000002</v>
      </c>
      <c r="BU27" s="14">
        <f t="shared" si="8"/>
        <v>0</v>
      </c>
      <c r="BW27" s="14">
        <f t="shared" si="9"/>
        <v>1.4</v>
      </c>
      <c r="BX27" s="14">
        <f t="shared" si="39"/>
        <v>1</v>
      </c>
      <c r="BY27" s="14">
        <f t="shared" si="40"/>
        <v>0.3999999999999999</v>
      </c>
      <c r="BZ27" s="14">
        <f t="shared" si="10"/>
        <v>1</v>
      </c>
      <c r="CB27" s="14">
        <f t="shared" si="11"/>
        <v>0.09999999999999964</v>
      </c>
      <c r="CC27" s="14">
        <f t="shared" si="41"/>
        <v>0</v>
      </c>
      <c r="CD27" s="14">
        <f t="shared" si="42"/>
        <v>0.09999999999999964</v>
      </c>
      <c r="CE27" s="14">
        <f t="shared" si="12"/>
        <v>1</v>
      </c>
    </row>
    <row r="28" spans="1:83" ht="12.75">
      <c r="A28" s="34">
        <v>19</v>
      </c>
      <c r="B28" s="54" t="str">
        <f>IF(A28="","",VLOOKUP(A28,Жеребьевка!$A$6:$C$45,2,0))</f>
        <v>Черных Максим Юрьевич</v>
      </c>
      <c r="C28" s="34">
        <v>1</v>
      </c>
      <c r="D28" s="34">
        <v>0</v>
      </c>
      <c r="E28" s="14">
        <f t="shared" si="13"/>
        <v>1</v>
      </c>
      <c r="F28" s="28">
        <v>31.8</v>
      </c>
      <c r="G28" s="57"/>
      <c r="H28" s="14">
        <f t="shared" si="14"/>
        <v>0</v>
      </c>
      <c r="I28" s="14">
        <f t="shared" si="15"/>
        <v>1</v>
      </c>
      <c r="J28" s="14">
        <f t="shared" si="16"/>
        <v>0</v>
      </c>
      <c r="K28" s="29">
        <f t="shared" si="17"/>
        <v>0</v>
      </c>
      <c r="L28" s="14">
        <f t="shared" si="0"/>
        <v>0</v>
      </c>
      <c r="M28" s="34">
        <v>5</v>
      </c>
      <c r="N28" s="57"/>
      <c r="O28" s="14">
        <f t="shared" si="18"/>
        <v>10</v>
      </c>
      <c r="P28" s="28">
        <v>8.5</v>
      </c>
      <c r="Q28" s="57"/>
      <c r="R28" s="14">
        <f t="shared" si="19"/>
        <v>0</v>
      </c>
      <c r="S28" s="14">
        <f t="shared" si="20"/>
        <v>0</v>
      </c>
      <c r="T28" s="14">
        <f t="shared" si="21"/>
        <v>0</v>
      </c>
      <c r="U28" s="29">
        <f t="shared" si="22"/>
        <v>-0.05</v>
      </c>
      <c r="V28" s="14">
        <f t="shared" si="1"/>
        <v>7.95</v>
      </c>
      <c r="W28" s="28">
        <v>4.9</v>
      </c>
      <c r="X28" s="57"/>
      <c r="Y28" s="14">
        <f t="shared" si="23"/>
        <v>0</v>
      </c>
      <c r="Z28" s="14">
        <f t="shared" si="24"/>
        <v>0</v>
      </c>
      <c r="AA28" s="14">
        <f t="shared" si="25"/>
        <v>0</v>
      </c>
      <c r="AB28" s="29">
        <f t="shared" si="26"/>
        <v>-0.010000000000000054</v>
      </c>
      <c r="AC28" s="14">
        <f t="shared" si="2"/>
        <v>7.99</v>
      </c>
      <c r="AD28" s="28">
        <v>17.1</v>
      </c>
      <c r="AE28" s="57"/>
      <c r="AF28" s="14">
        <f t="shared" si="27"/>
        <v>0</v>
      </c>
      <c r="AG28" s="14">
        <f t="shared" si="28"/>
        <v>0</v>
      </c>
      <c r="AH28" s="14">
        <f t="shared" si="29"/>
        <v>1</v>
      </c>
      <c r="AI28" s="29">
        <f t="shared" si="30"/>
        <v>0</v>
      </c>
      <c r="AJ28" s="14">
        <f t="shared" si="3"/>
        <v>0</v>
      </c>
      <c r="AK28" s="34">
        <v>3</v>
      </c>
      <c r="AL28" s="34">
        <v>2</v>
      </c>
      <c r="AM28" s="34">
        <v>2</v>
      </c>
      <c r="AN28" s="34">
        <v>2</v>
      </c>
      <c r="AO28" s="57"/>
      <c r="AP28" s="14">
        <f t="shared" si="31"/>
        <v>9</v>
      </c>
      <c r="AQ28" s="34"/>
      <c r="AR28" s="34"/>
      <c r="AS28" s="49">
        <v>0</v>
      </c>
      <c r="AT28" s="34">
        <v>2</v>
      </c>
      <c r="AU28" s="34">
        <v>2</v>
      </c>
      <c r="AV28" s="34">
        <v>0</v>
      </c>
      <c r="AW28" s="50"/>
      <c r="AX28" s="14">
        <f t="shared" si="32"/>
        <v>6</v>
      </c>
      <c r="AY28" s="57"/>
      <c r="AZ28" s="57"/>
      <c r="BA28" s="57"/>
      <c r="BB28" s="57"/>
      <c r="BC28" s="29">
        <f t="shared" si="33"/>
        <v>0</v>
      </c>
      <c r="BD28" s="50">
        <v>1</v>
      </c>
      <c r="BE28" s="15">
        <v>0.17430555555555557</v>
      </c>
      <c r="BF28" s="49">
        <f t="shared" si="4"/>
        <v>0</v>
      </c>
      <c r="BG28" s="34">
        <v>0</v>
      </c>
      <c r="BH28" s="39">
        <f t="shared" si="34"/>
        <v>0</v>
      </c>
      <c r="BI28" s="64"/>
      <c r="BM28" s="14">
        <f t="shared" si="5"/>
        <v>4.199999999999999</v>
      </c>
      <c r="BN28" s="14">
        <f t="shared" si="35"/>
        <v>4</v>
      </c>
      <c r="BO28" s="14">
        <f t="shared" si="36"/>
        <v>0.1999999999999993</v>
      </c>
      <c r="BP28" s="14">
        <f t="shared" si="6"/>
        <v>0</v>
      </c>
      <c r="BR28" s="14">
        <f t="shared" si="7"/>
        <v>0.5</v>
      </c>
      <c r="BS28" s="14">
        <f t="shared" si="37"/>
        <v>0</v>
      </c>
      <c r="BT28" s="14">
        <f t="shared" si="38"/>
        <v>0.5</v>
      </c>
      <c r="BU28" s="14">
        <f t="shared" si="8"/>
        <v>1</v>
      </c>
      <c r="BW28" s="14">
        <f t="shared" si="9"/>
        <v>0.10000000000000053</v>
      </c>
      <c r="BX28" s="14">
        <f t="shared" si="39"/>
        <v>0</v>
      </c>
      <c r="BY28" s="14">
        <f t="shared" si="40"/>
        <v>0.10000000000000053</v>
      </c>
      <c r="BZ28" s="14">
        <f t="shared" si="10"/>
        <v>1</v>
      </c>
      <c r="CB28" s="14">
        <f t="shared" si="11"/>
        <v>6.300000000000001</v>
      </c>
      <c r="CC28" s="14">
        <f t="shared" si="41"/>
        <v>6</v>
      </c>
      <c r="CD28" s="14">
        <f t="shared" si="42"/>
        <v>0.3000000000000007</v>
      </c>
      <c r="CE28" s="14">
        <f t="shared" si="12"/>
        <v>0</v>
      </c>
    </row>
    <row r="29" spans="1:83" ht="12.75">
      <c r="A29" s="34">
        <v>20</v>
      </c>
      <c r="B29" s="54" t="str">
        <f>IF(A29="","",VLOOKUP(A29,Жеребьевка!$A$6:$C$45,2,0))</f>
        <v>Королев Дмитрий Сергеевич</v>
      </c>
      <c r="C29" s="34">
        <v>1</v>
      </c>
      <c r="D29" s="34">
        <v>0</v>
      </c>
      <c r="E29" s="14">
        <f t="shared" si="13"/>
        <v>1</v>
      </c>
      <c r="F29" s="28">
        <v>35.6</v>
      </c>
      <c r="G29" s="57"/>
      <c r="H29" s="14">
        <f t="shared" si="14"/>
        <v>0</v>
      </c>
      <c r="I29" s="14">
        <f t="shared" si="15"/>
        <v>0</v>
      </c>
      <c r="J29" s="14">
        <f t="shared" si="16"/>
        <v>0</v>
      </c>
      <c r="K29" s="29">
        <f t="shared" si="17"/>
        <v>-0.03999999999999986</v>
      </c>
      <c r="L29" s="14">
        <f t="shared" si="0"/>
        <v>7.96</v>
      </c>
      <c r="M29" s="34">
        <v>5</v>
      </c>
      <c r="N29" s="57"/>
      <c r="O29" s="14">
        <f t="shared" si="18"/>
        <v>10</v>
      </c>
      <c r="P29" s="28">
        <v>8.1</v>
      </c>
      <c r="Q29" s="57"/>
      <c r="R29" s="14">
        <f t="shared" si="19"/>
        <v>0</v>
      </c>
      <c r="S29" s="14">
        <f t="shared" si="20"/>
        <v>0</v>
      </c>
      <c r="T29" s="14">
        <f t="shared" si="21"/>
        <v>0</v>
      </c>
      <c r="U29" s="29">
        <f t="shared" si="22"/>
        <v>-0.09000000000000004</v>
      </c>
      <c r="V29" s="14">
        <f t="shared" si="1"/>
        <v>7.91</v>
      </c>
      <c r="W29" s="28">
        <v>4.7</v>
      </c>
      <c r="X29" s="57"/>
      <c r="Y29" s="14">
        <f t="shared" si="23"/>
        <v>0</v>
      </c>
      <c r="Z29" s="14">
        <f t="shared" si="24"/>
        <v>0</v>
      </c>
      <c r="AA29" s="14">
        <f t="shared" si="25"/>
        <v>0</v>
      </c>
      <c r="AB29" s="29">
        <f t="shared" si="26"/>
        <v>-0.009999999999999966</v>
      </c>
      <c r="AC29" s="14">
        <f t="shared" si="2"/>
        <v>7.99</v>
      </c>
      <c r="AD29" s="28">
        <v>10.1</v>
      </c>
      <c r="AE29" s="57"/>
      <c r="AF29" s="14">
        <f t="shared" si="27"/>
        <v>0</v>
      </c>
      <c r="AG29" s="14">
        <f t="shared" si="28"/>
        <v>0</v>
      </c>
      <c r="AH29" s="14">
        <f t="shared" si="29"/>
        <v>0</v>
      </c>
      <c r="AI29" s="29">
        <f t="shared" si="30"/>
        <v>-0.0700000000000001</v>
      </c>
      <c r="AJ29" s="14">
        <f t="shared" si="3"/>
        <v>7.93</v>
      </c>
      <c r="AK29" s="34">
        <v>3</v>
      </c>
      <c r="AL29" s="34">
        <v>2</v>
      </c>
      <c r="AM29" s="34">
        <v>2</v>
      </c>
      <c r="AN29" s="34">
        <v>2</v>
      </c>
      <c r="AO29" s="57"/>
      <c r="AP29" s="14">
        <f t="shared" si="31"/>
        <v>9</v>
      </c>
      <c r="AQ29" s="34"/>
      <c r="AR29" s="34"/>
      <c r="AS29" s="49">
        <v>0</v>
      </c>
      <c r="AT29" s="34">
        <v>3</v>
      </c>
      <c r="AU29" s="34">
        <v>2</v>
      </c>
      <c r="AV29" s="34">
        <v>2</v>
      </c>
      <c r="AW29" s="50"/>
      <c r="AX29" s="14">
        <f t="shared" si="32"/>
        <v>10</v>
      </c>
      <c r="AY29" s="57"/>
      <c r="AZ29" s="57"/>
      <c r="BA29" s="57"/>
      <c r="BB29" s="57"/>
      <c r="BC29" s="29">
        <f t="shared" si="33"/>
        <v>0</v>
      </c>
      <c r="BD29" s="50"/>
      <c r="BE29" s="15">
        <v>0.1173611111111111</v>
      </c>
      <c r="BF29" s="49">
        <f t="shared" si="4"/>
        <v>61.79</v>
      </c>
      <c r="BG29" s="34">
        <v>0</v>
      </c>
      <c r="BH29" s="39">
        <f t="shared" si="34"/>
        <v>61.79</v>
      </c>
      <c r="BI29" s="64"/>
      <c r="BM29" s="14">
        <f t="shared" si="5"/>
        <v>0.3999999999999986</v>
      </c>
      <c r="BN29" s="14">
        <f t="shared" si="35"/>
        <v>0</v>
      </c>
      <c r="BO29" s="14">
        <f t="shared" si="36"/>
        <v>0.3999999999999986</v>
      </c>
      <c r="BP29" s="14">
        <f t="shared" si="6"/>
        <v>1</v>
      </c>
      <c r="BR29" s="14">
        <f t="shared" si="7"/>
        <v>0.9000000000000004</v>
      </c>
      <c r="BS29" s="14">
        <f t="shared" si="37"/>
        <v>0</v>
      </c>
      <c r="BT29" s="14">
        <f t="shared" si="38"/>
        <v>0.9000000000000004</v>
      </c>
      <c r="BU29" s="14">
        <f t="shared" si="8"/>
        <v>1</v>
      </c>
      <c r="BW29" s="14">
        <f t="shared" si="9"/>
        <v>0.09999999999999964</v>
      </c>
      <c r="BX29" s="14">
        <f t="shared" si="39"/>
        <v>0</v>
      </c>
      <c r="BY29" s="14">
        <f t="shared" si="40"/>
        <v>0.09999999999999964</v>
      </c>
      <c r="BZ29" s="14">
        <f t="shared" si="10"/>
        <v>1</v>
      </c>
      <c r="CB29" s="14">
        <f t="shared" si="11"/>
        <v>0.7000000000000011</v>
      </c>
      <c r="CC29" s="14">
        <f t="shared" si="41"/>
        <v>0</v>
      </c>
      <c r="CD29" s="14">
        <f t="shared" si="42"/>
        <v>0.7000000000000011</v>
      </c>
      <c r="CE29" s="14">
        <f t="shared" si="12"/>
        <v>1</v>
      </c>
    </row>
    <row r="30" spans="1:83" ht="12.75">
      <c r="A30" s="34">
        <v>21</v>
      </c>
      <c r="B30" s="54" t="str">
        <f>IF(A30="","",VLOOKUP(A30,Жеребьевка!$A$6:$C$45,2,0))</f>
        <v>Сазеев Илья Михайлович</v>
      </c>
      <c r="C30" s="34">
        <v>1</v>
      </c>
      <c r="D30" s="34">
        <v>1</v>
      </c>
      <c r="E30" s="14">
        <f t="shared" si="13"/>
        <v>3</v>
      </c>
      <c r="F30" s="28">
        <v>40.5</v>
      </c>
      <c r="G30" s="57"/>
      <c r="H30" s="14">
        <f t="shared" si="14"/>
        <v>0</v>
      </c>
      <c r="I30" s="14">
        <f t="shared" si="15"/>
        <v>0</v>
      </c>
      <c r="J30" s="14">
        <f t="shared" si="16"/>
        <v>1</v>
      </c>
      <c r="K30" s="29">
        <f t="shared" si="17"/>
        <v>0</v>
      </c>
      <c r="L30" s="14">
        <f t="shared" si="0"/>
        <v>0</v>
      </c>
      <c r="M30" s="34">
        <v>5</v>
      </c>
      <c r="N30" s="57"/>
      <c r="O30" s="14">
        <f t="shared" si="18"/>
        <v>10</v>
      </c>
      <c r="P30" s="28">
        <v>7.4</v>
      </c>
      <c r="Q30" s="57"/>
      <c r="R30" s="14">
        <f t="shared" si="19"/>
        <v>0</v>
      </c>
      <c r="S30" s="14">
        <f t="shared" si="20"/>
        <v>0</v>
      </c>
      <c r="T30" s="14">
        <f t="shared" si="21"/>
        <v>0</v>
      </c>
      <c r="U30" s="29">
        <f t="shared" si="22"/>
        <v>-0.15999999999999998</v>
      </c>
      <c r="V30" s="14">
        <f t="shared" si="1"/>
        <v>7.84</v>
      </c>
      <c r="W30" s="28">
        <v>4.1</v>
      </c>
      <c r="X30" s="57"/>
      <c r="Y30" s="14">
        <f t="shared" si="23"/>
        <v>0</v>
      </c>
      <c r="Z30" s="14">
        <f t="shared" si="24"/>
        <v>0</v>
      </c>
      <c r="AA30" s="14">
        <f t="shared" si="25"/>
        <v>0</v>
      </c>
      <c r="AB30" s="29">
        <f t="shared" si="26"/>
        <v>-0.07000000000000002</v>
      </c>
      <c r="AC30" s="14">
        <f t="shared" si="2"/>
        <v>7.93</v>
      </c>
      <c r="AD30" s="28">
        <v>10.4</v>
      </c>
      <c r="AE30" s="57"/>
      <c r="AF30" s="14">
        <f t="shared" si="27"/>
        <v>0</v>
      </c>
      <c r="AG30" s="14">
        <f t="shared" si="28"/>
        <v>0</v>
      </c>
      <c r="AH30" s="14">
        <f t="shared" si="29"/>
        <v>0</v>
      </c>
      <c r="AI30" s="29">
        <f t="shared" si="30"/>
        <v>-0.040000000000000036</v>
      </c>
      <c r="AJ30" s="14">
        <f t="shared" si="3"/>
        <v>7.96</v>
      </c>
      <c r="AK30" s="34">
        <v>3</v>
      </c>
      <c r="AL30" s="34">
        <v>2</v>
      </c>
      <c r="AM30" s="34">
        <v>2</v>
      </c>
      <c r="AN30" s="34">
        <v>2</v>
      </c>
      <c r="AO30" s="57"/>
      <c r="AP30" s="14">
        <f t="shared" si="31"/>
        <v>9</v>
      </c>
      <c r="AQ30" s="34"/>
      <c r="AR30" s="34"/>
      <c r="AS30" s="49">
        <v>0</v>
      </c>
      <c r="AT30" s="34">
        <v>1</v>
      </c>
      <c r="AU30" s="34">
        <v>2</v>
      </c>
      <c r="AV30" s="34">
        <v>2</v>
      </c>
      <c r="AW30" s="50"/>
      <c r="AX30" s="14">
        <f t="shared" si="32"/>
        <v>6</v>
      </c>
      <c r="AY30" s="57"/>
      <c r="AZ30" s="57"/>
      <c r="BA30" s="57"/>
      <c r="BB30" s="57"/>
      <c r="BC30" s="29">
        <f t="shared" si="33"/>
        <v>0</v>
      </c>
      <c r="BD30" s="50"/>
      <c r="BE30" s="15">
        <v>0.14097222222222222</v>
      </c>
      <c r="BF30" s="49">
        <f t="shared" si="4"/>
        <v>51.73</v>
      </c>
      <c r="BG30" s="34">
        <v>0</v>
      </c>
      <c r="BH30" s="39">
        <f t="shared" si="34"/>
        <v>51.73</v>
      </c>
      <c r="BI30" s="64"/>
      <c r="BM30" s="14">
        <f t="shared" si="5"/>
        <v>4.5</v>
      </c>
      <c r="BN30" s="14">
        <f t="shared" si="35"/>
        <v>4</v>
      </c>
      <c r="BO30" s="14">
        <f t="shared" si="36"/>
        <v>0.5</v>
      </c>
      <c r="BP30" s="14">
        <f t="shared" si="6"/>
        <v>0</v>
      </c>
      <c r="BR30" s="14">
        <f t="shared" si="7"/>
        <v>1.5999999999999996</v>
      </c>
      <c r="BS30" s="14">
        <f t="shared" si="37"/>
        <v>1</v>
      </c>
      <c r="BT30" s="14">
        <f t="shared" si="38"/>
        <v>0.5999999999999996</v>
      </c>
      <c r="BU30" s="14">
        <f t="shared" si="8"/>
        <v>1</v>
      </c>
      <c r="BW30" s="14">
        <f t="shared" si="9"/>
        <v>0.7000000000000002</v>
      </c>
      <c r="BX30" s="14">
        <f t="shared" si="39"/>
        <v>0</v>
      </c>
      <c r="BY30" s="14">
        <f t="shared" si="40"/>
        <v>0.7000000000000002</v>
      </c>
      <c r="BZ30" s="14">
        <f t="shared" si="10"/>
        <v>1</v>
      </c>
      <c r="CB30" s="14">
        <f t="shared" si="11"/>
        <v>0.40000000000000036</v>
      </c>
      <c r="CC30" s="14">
        <f t="shared" si="41"/>
        <v>0</v>
      </c>
      <c r="CD30" s="14">
        <f t="shared" si="42"/>
        <v>0.40000000000000036</v>
      </c>
      <c r="CE30" s="14">
        <f t="shared" si="12"/>
        <v>1</v>
      </c>
    </row>
    <row r="31" spans="1:83" ht="12.75">
      <c r="A31" s="34">
        <v>22</v>
      </c>
      <c r="B31" s="54" t="str">
        <f>IF(A31="","",VLOOKUP(A31,Жеребьевка!$A$6:$C$45,2,0))</f>
        <v>Кузюк Валентина Павловна</v>
      </c>
      <c r="C31" s="34">
        <v>1</v>
      </c>
      <c r="D31" s="34">
        <v>1</v>
      </c>
      <c r="E31" s="14">
        <f t="shared" si="13"/>
        <v>3</v>
      </c>
      <c r="F31" s="28">
        <v>37.6</v>
      </c>
      <c r="G31" s="57"/>
      <c r="H31" s="14">
        <f t="shared" si="14"/>
        <v>0</v>
      </c>
      <c r="I31" s="14">
        <f t="shared" si="15"/>
        <v>0</v>
      </c>
      <c r="J31" s="14">
        <f t="shared" si="16"/>
        <v>0</v>
      </c>
      <c r="K31" s="29">
        <f t="shared" si="17"/>
        <v>-0.16000000000000014</v>
      </c>
      <c r="L31" s="14">
        <f t="shared" si="0"/>
        <v>7.84</v>
      </c>
      <c r="M31" s="34">
        <v>5</v>
      </c>
      <c r="N31" s="57"/>
      <c r="O31" s="14">
        <f t="shared" si="18"/>
        <v>10</v>
      </c>
      <c r="P31" s="28">
        <v>19</v>
      </c>
      <c r="Q31" s="57">
        <v>1</v>
      </c>
      <c r="R31" s="14">
        <f t="shared" si="19"/>
        <v>0</v>
      </c>
      <c r="S31" s="14">
        <f t="shared" si="20"/>
        <v>0</v>
      </c>
      <c r="T31" s="14">
        <f t="shared" si="21"/>
        <v>1</v>
      </c>
      <c r="U31" s="29">
        <f t="shared" si="22"/>
        <v>0</v>
      </c>
      <c r="V31" s="14">
        <f t="shared" si="1"/>
        <v>0</v>
      </c>
      <c r="W31" s="28">
        <v>5</v>
      </c>
      <c r="X31" s="57"/>
      <c r="Y31" s="14">
        <f t="shared" si="23"/>
        <v>0</v>
      </c>
      <c r="Z31" s="14">
        <f t="shared" si="24"/>
        <v>0</v>
      </c>
      <c r="AA31" s="14">
        <f t="shared" si="25"/>
        <v>0</v>
      </c>
      <c r="AB31" s="29">
        <f t="shared" si="26"/>
        <v>-0.020000000000000018</v>
      </c>
      <c r="AC31" s="14">
        <f t="shared" si="2"/>
        <v>7.98</v>
      </c>
      <c r="AD31" s="28">
        <v>11.3</v>
      </c>
      <c r="AE31" s="57"/>
      <c r="AF31" s="14">
        <f t="shared" si="27"/>
        <v>0</v>
      </c>
      <c r="AG31" s="14">
        <f t="shared" si="28"/>
        <v>0</v>
      </c>
      <c r="AH31" s="14">
        <f t="shared" si="29"/>
        <v>0</v>
      </c>
      <c r="AI31" s="29">
        <f t="shared" si="30"/>
        <v>-0.05</v>
      </c>
      <c r="AJ31" s="14">
        <f t="shared" si="3"/>
        <v>7.95</v>
      </c>
      <c r="AK31" s="34">
        <v>1</v>
      </c>
      <c r="AL31" s="34">
        <v>2</v>
      </c>
      <c r="AM31" s="34">
        <v>2</v>
      </c>
      <c r="AN31" s="34">
        <v>0</v>
      </c>
      <c r="AO31" s="57"/>
      <c r="AP31" s="14">
        <f t="shared" si="31"/>
        <v>5</v>
      </c>
      <c r="AQ31" s="34"/>
      <c r="AR31" s="34"/>
      <c r="AS31" s="49">
        <v>0</v>
      </c>
      <c r="AT31" s="34">
        <v>3</v>
      </c>
      <c r="AU31" s="34">
        <v>2</v>
      </c>
      <c r="AV31" s="34">
        <v>0</v>
      </c>
      <c r="AW31" s="50"/>
      <c r="AX31" s="14">
        <f t="shared" si="32"/>
        <v>8</v>
      </c>
      <c r="AY31" s="57"/>
      <c r="AZ31" s="57"/>
      <c r="BA31" s="57"/>
      <c r="BB31" s="57"/>
      <c r="BC31" s="29">
        <f t="shared" si="33"/>
        <v>0</v>
      </c>
      <c r="BD31" s="50"/>
      <c r="BE31" s="15">
        <v>0.18472222222222223</v>
      </c>
      <c r="BF31" s="49">
        <f t="shared" si="4"/>
        <v>49.77</v>
      </c>
      <c r="BG31" s="34">
        <v>0</v>
      </c>
      <c r="BH31" s="39">
        <f t="shared" si="34"/>
        <v>49.77</v>
      </c>
      <c r="BI31" s="64"/>
      <c r="BM31" s="14">
        <f t="shared" si="5"/>
        <v>1.6000000000000014</v>
      </c>
      <c r="BN31" s="14">
        <f t="shared" si="35"/>
        <v>1</v>
      </c>
      <c r="BO31" s="14">
        <f t="shared" si="36"/>
        <v>0.6000000000000014</v>
      </c>
      <c r="BP31" s="14">
        <f t="shared" si="6"/>
        <v>1</v>
      </c>
      <c r="BR31" s="14">
        <f t="shared" si="7"/>
        <v>10</v>
      </c>
      <c r="BS31" s="14">
        <f t="shared" si="37"/>
        <v>10</v>
      </c>
      <c r="BT31" s="14">
        <f t="shared" si="38"/>
        <v>0</v>
      </c>
      <c r="BU31" s="14">
        <f t="shared" si="8"/>
        <v>0</v>
      </c>
      <c r="BW31" s="14">
        <f t="shared" si="9"/>
        <v>0.20000000000000018</v>
      </c>
      <c r="BX31" s="14">
        <f t="shared" si="39"/>
        <v>0</v>
      </c>
      <c r="BY31" s="14">
        <f t="shared" si="40"/>
        <v>0.20000000000000018</v>
      </c>
      <c r="BZ31" s="14">
        <f t="shared" si="10"/>
        <v>1</v>
      </c>
      <c r="CB31" s="14">
        <f t="shared" si="11"/>
        <v>0.5</v>
      </c>
      <c r="CC31" s="14">
        <f t="shared" si="41"/>
        <v>0</v>
      </c>
      <c r="CD31" s="14">
        <f t="shared" si="42"/>
        <v>0.5</v>
      </c>
      <c r="CE31" s="14">
        <f t="shared" si="12"/>
        <v>1</v>
      </c>
    </row>
    <row r="32" spans="1:83" ht="12.75">
      <c r="A32" s="34">
        <v>23</v>
      </c>
      <c r="B32" s="54" t="str">
        <f>IF(A32="","",VLOOKUP(A32,Жеребьевка!$A$6:$C$45,2,0))</f>
        <v>Глуханюк Михаил Юрьевич</v>
      </c>
      <c r="C32" s="34">
        <v>1</v>
      </c>
      <c r="D32" s="34">
        <v>1</v>
      </c>
      <c r="E32" s="14">
        <f t="shared" si="13"/>
        <v>3</v>
      </c>
      <c r="F32" s="28">
        <v>39.3</v>
      </c>
      <c r="G32" s="57"/>
      <c r="H32" s="14">
        <f t="shared" si="14"/>
        <v>0</v>
      </c>
      <c r="I32" s="14">
        <f t="shared" si="15"/>
        <v>0</v>
      </c>
      <c r="J32" s="14">
        <f t="shared" si="16"/>
        <v>1</v>
      </c>
      <c r="K32" s="29">
        <f t="shared" si="17"/>
        <v>0</v>
      </c>
      <c r="L32" s="14">
        <f t="shared" si="0"/>
        <v>0</v>
      </c>
      <c r="M32" s="34">
        <v>5</v>
      </c>
      <c r="N32" s="57"/>
      <c r="O32" s="14">
        <f t="shared" si="18"/>
        <v>10</v>
      </c>
      <c r="P32" s="28">
        <v>8.9</v>
      </c>
      <c r="Q32" s="57"/>
      <c r="R32" s="14">
        <f t="shared" si="19"/>
        <v>0</v>
      </c>
      <c r="S32" s="14">
        <f t="shared" si="20"/>
        <v>0</v>
      </c>
      <c r="T32" s="14">
        <f t="shared" si="21"/>
        <v>0</v>
      </c>
      <c r="U32" s="29">
        <f t="shared" si="22"/>
        <v>-0.009999999999999966</v>
      </c>
      <c r="V32" s="14">
        <f t="shared" si="1"/>
        <v>7.99</v>
      </c>
      <c r="W32" s="28">
        <v>5.1</v>
      </c>
      <c r="X32" s="57"/>
      <c r="Y32" s="14">
        <f t="shared" si="23"/>
        <v>0</v>
      </c>
      <c r="Z32" s="14">
        <f t="shared" si="24"/>
        <v>0</v>
      </c>
      <c r="AA32" s="14">
        <f t="shared" si="25"/>
        <v>0</v>
      </c>
      <c r="AB32" s="29">
        <f t="shared" si="26"/>
        <v>-0.029999999999999985</v>
      </c>
      <c r="AC32" s="14">
        <f t="shared" si="2"/>
        <v>7.97</v>
      </c>
      <c r="AD32" s="28">
        <v>12.3</v>
      </c>
      <c r="AE32" s="57"/>
      <c r="AF32" s="14">
        <f t="shared" si="27"/>
        <v>0</v>
      </c>
      <c r="AG32" s="14">
        <f t="shared" si="28"/>
        <v>0</v>
      </c>
      <c r="AH32" s="14">
        <f t="shared" si="29"/>
        <v>0</v>
      </c>
      <c r="AI32" s="29">
        <f t="shared" si="30"/>
        <v>-0.15000000000000002</v>
      </c>
      <c r="AJ32" s="14">
        <f t="shared" si="3"/>
        <v>7.85</v>
      </c>
      <c r="AK32" s="34">
        <v>2</v>
      </c>
      <c r="AL32" s="34">
        <v>2</v>
      </c>
      <c r="AM32" s="34">
        <v>2</v>
      </c>
      <c r="AN32" s="34">
        <v>2</v>
      </c>
      <c r="AO32" s="57"/>
      <c r="AP32" s="14">
        <f t="shared" si="31"/>
        <v>8</v>
      </c>
      <c r="AQ32" s="34"/>
      <c r="AR32" s="34"/>
      <c r="AS32" s="49">
        <v>0</v>
      </c>
      <c r="AT32" s="34">
        <v>2</v>
      </c>
      <c r="AU32" s="34">
        <v>2</v>
      </c>
      <c r="AV32" s="34">
        <v>2</v>
      </c>
      <c r="AW32" s="50"/>
      <c r="AX32" s="14">
        <f t="shared" si="32"/>
        <v>8</v>
      </c>
      <c r="AY32" s="57"/>
      <c r="AZ32" s="57"/>
      <c r="BA32" s="57"/>
      <c r="BB32" s="57"/>
      <c r="BC32" s="29">
        <f t="shared" si="33"/>
        <v>0</v>
      </c>
      <c r="BD32" s="50"/>
      <c r="BE32" s="15">
        <v>0.1638888888888889</v>
      </c>
      <c r="BF32" s="49">
        <f t="shared" si="4"/>
        <v>52.81</v>
      </c>
      <c r="BG32" s="34">
        <v>0</v>
      </c>
      <c r="BH32" s="39">
        <f t="shared" si="34"/>
        <v>52.81</v>
      </c>
      <c r="BI32" s="64"/>
      <c r="BM32" s="14">
        <f t="shared" si="5"/>
        <v>3.299999999999997</v>
      </c>
      <c r="BN32" s="14">
        <f t="shared" si="35"/>
        <v>3</v>
      </c>
      <c r="BO32" s="14">
        <f t="shared" si="36"/>
        <v>0.29999999999999716</v>
      </c>
      <c r="BP32" s="14">
        <f t="shared" si="6"/>
        <v>0</v>
      </c>
      <c r="BR32" s="14">
        <f t="shared" si="7"/>
        <v>0.09999999999999964</v>
      </c>
      <c r="BS32" s="14">
        <f t="shared" si="37"/>
        <v>0</v>
      </c>
      <c r="BT32" s="14">
        <f t="shared" si="38"/>
        <v>0.09999999999999964</v>
      </c>
      <c r="BU32" s="14">
        <f t="shared" si="8"/>
        <v>1</v>
      </c>
      <c r="BW32" s="14">
        <f t="shared" si="9"/>
        <v>0.2999999999999998</v>
      </c>
      <c r="BX32" s="14">
        <f t="shared" si="39"/>
        <v>0</v>
      </c>
      <c r="BY32" s="14">
        <f t="shared" si="40"/>
        <v>0.2999999999999998</v>
      </c>
      <c r="BZ32" s="14">
        <f t="shared" si="10"/>
        <v>1</v>
      </c>
      <c r="CB32" s="14">
        <f t="shared" si="11"/>
        <v>1.5</v>
      </c>
      <c r="CC32" s="14">
        <f t="shared" si="41"/>
        <v>1</v>
      </c>
      <c r="CD32" s="14">
        <f t="shared" si="42"/>
        <v>0.5</v>
      </c>
      <c r="CE32" s="14">
        <f t="shared" si="12"/>
        <v>1</v>
      </c>
    </row>
    <row r="33" spans="1:83" ht="12.75">
      <c r="A33" s="34">
        <v>24</v>
      </c>
      <c r="B33" s="54" t="str">
        <f>IF(A33="","",VLOOKUP(A33,Жеребьевка!$A$6:$C$45,2,0))</f>
        <v>Лобачёва Анжелика Юрьевна</v>
      </c>
      <c r="C33" s="34">
        <v>1</v>
      </c>
      <c r="D33" s="34">
        <v>1</v>
      </c>
      <c r="E33" s="14">
        <f t="shared" si="13"/>
        <v>3</v>
      </c>
      <c r="F33" s="28">
        <v>36.1</v>
      </c>
      <c r="G33" s="57"/>
      <c r="H33" s="14">
        <f t="shared" si="14"/>
        <v>0</v>
      </c>
      <c r="I33" s="14">
        <f t="shared" si="15"/>
        <v>0</v>
      </c>
      <c r="J33" s="14">
        <f t="shared" si="16"/>
        <v>0</v>
      </c>
      <c r="K33" s="29">
        <f t="shared" si="17"/>
        <v>-0.010000000000000142</v>
      </c>
      <c r="L33" s="14">
        <f t="shared" si="0"/>
        <v>7.99</v>
      </c>
      <c r="M33" s="34">
        <v>5</v>
      </c>
      <c r="N33" s="57"/>
      <c r="O33" s="14">
        <f t="shared" si="18"/>
        <v>10</v>
      </c>
      <c r="P33" s="28">
        <v>7.5</v>
      </c>
      <c r="Q33" s="57"/>
      <c r="R33" s="14">
        <f t="shared" si="19"/>
        <v>0</v>
      </c>
      <c r="S33" s="14">
        <f t="shared" si="20"/>
        <v>0</v>
      </c>
      <c r="T33" s="14">
        <f t="shared" si="21"/>
        <v>0</v>
      </c>
      <c r="U33" s="29">
        <f t="shared" si="22"/>
        <v>-0.15000000000000002</v>
      </c>
      <c r="V33" s="14">
        <f t="shared" si="1"/>
        <v>7.85</v>
      </c>
      <c r="W33" s="28">
        <v>4</v>
      </c>
      <c r="X33" s="57"/>
      <c r="Y33" s="14">
        <f t="shared" si="23"/>
        <v>0</v>
      </c>
      <c r="Z33" s="14">
        <f t="shared" si="24"/>
        <v>0</v>
      </c>
      <c r="AA33" s="14">
        <f t="shared" si="25"/>
        <v>0</v>
      </c>
      <c r="AB33" s="29">
        <f t="shared" si="26"/>
        <v>-0.07999999999999999</v>
      </c>
      <c r="AC33" s="14">
        <f t="shared" si="2"/>
        <v>7.92</v>
      </c>
      <c r="AD33" s="28">
        <v>10.7</v>
      </c>
      <c r="AE33" s="57"/>
      <c r="AF33" s="14">
        <f t="shared" si="27"/>
        <v>0</v>
      </c>
      <c r="AG33" s="14">
        <f t="shared" si="28"/>
        <v>0</v>
      </c>
      <c r="AH33" s="14">
        <f t="shared" si="29"/>
        <v>0</v>
      </c>
      <c r="AI33" s="29">
        <f t="shared" si="30"/>
        <v>-0.010000000000000142</v>
      </c>
      <c r="AJ33" s="14">
        <f t="shared" si="3"/>
        <v>7.99</v>
      </c>
      <c r="AK33" s="34">
        <v>2</v>
      </c>
      <c r="AL33" s="34">
        <v>2</v>
      </c>
      <c r="AM33" s="34">
        <v>2</v>
      </c>
      <c r="AN33" s="34">
        <v>2</v>
      </c>
      <c r="AO33" s="57"/>
      <c r="AP33" s="14">
        <f t="shared" si="31"/>
        <v>8</v>
      </c>
      <c r="AQ33" s="34"/>
      <c r="AR33" s="34"/>
      <c r="AS33" s="49">
        <v>0</v>
      </c>
      <c r="AT33" s="34">
        <v>3</v>
      </c>
      <c r="AU33" s="34">
        <v>2</v>
      </c>
      <c r="AV33" s="34">
        <v>2</v>
      </c>
      <c r="AW33" s="50"/>
      <c r="AX33" s="14">
        <f t="shared" si="32"/>
        <v>10</v>
      </c>
      <c r="AY33" s="57"/>
      <c r="AZ33" s="57"/>
      <c r="BA33" s="57"/>
      <c r="BB33" s="57"/>
      <c r="BC33" s="29">
        <f t="shared" si="33"/>
        <v>0</v>
      </c>
      <c r="BD33" s="50"/>
      <c r="BE33" s="15">
        <v>0.12361111111111112</v>
      </c>
      <c r="BF33" s="49">
        <f t="shared" si="4"/>
        <v>62.75000000000001</v>
      </c>
      <c r="BG33" s="34">
        <v>0</v>
      </c>
      <c r="BH33" s="39">
        <f t="shared" si="34"/>
        <v>62.75000000000001</v>
      </c>
      <c r="BI33" s="64"/>
      <c r="BM33" s="14">
        <f t="shared" si="5"/>
        <v>0.10000000000000142</v>
      </c>
      <c r="BN33" s="14">
        <f t="shared" si="35"/>
        <v>0</v>
      </c>
      <c r="BO33" s="14">
        <f t="shared" si="36"/>
        <v>0.10000000000000142</v>
      </c>
      <c r="BP33" s="14">
        <f t="shared" si="6"/>
        <v>1</v>
      </c>
      <c r="BR33" s="14">
        <f t="shared" si="7"/>
        <v>1.5</v>
      </c>
      <c r="BS33" s="14">
        <f t="shared" si="37"/>
        <v>1</v>
      </c>
      <c r="BT33" s="14">
        <f t="shared" si="38"/>
        <v>0.5</v>
      </c>
      <c r="BU33" s="14">
        <f t="shared" si="8"/>
        <v>1</v>
      </c>
      <c r="BW33" s="14">
        <f t="shared" si="9"/>
        <v>0.7999999999999998</v>
      </c>
      <c r="BX33" s="14">
        <f t="shared" si="39"/>
        <v>0</v>
      </c>
      <c r="BY33" s="14">
        <f t="shared" si="40"/>
        <v>0.7999999999999998</v>
      </c>
      <c r="BZ33" s="14">
        <f t="shared" si="10"/>
        <v>1</v>
      </c>
      <c r="CB33" s="14">
        <f t="shared" si="11"/>
        <v>0.10000000000000142</v>
      </c>
      <c r="CC33" s="14">
        <f t="shared" si="41"/>
        <v>0</v>
      </c>
      <c r="CD33" s="14">
        <f t="shared" si="42"/>
        <v>0.10000000000000142</v>
      </c>
      <c r="CE33" s="14">
        <f t="shared" si="12"/>
        <v>1</v>
      </c>
    </row>
    <row r="34" spans="1:83" ht="12.75">
      <c r="A34" s="34">
        <v>25</v>
      </c>
      <c r="B34" s="54" t="str">
        <f>IF(A34="","",VLOOKUP(A34,Жеребьевка!$A$6:$C$45,2,0))</f>
        <v>Пиженко Анатолий Александрович</v>
      </c>
      <c r="C34" s="34">
        <v>1</v>
      </c>
      <c r="D34" s="34">
        <v>1</v>
      </c>
      <c r="E34" s="14">
        <f t="shared" si="13"/>
        <v>3</v>
      </c>
      <c r="F34" s="28">
        <v>36.7</v>
      </c>
      <c r="G34" s="57"/>
      <c r="H34" s="14">
        <f t="shared" si="14"/>
        <v>0</v>
      </c>
      <c r="I34" s="14">
        <f t="shared" si="15"/>
        <v>0</v>
      </c>
      <c r="J34" s="14">
        <f t="shared" si="16"/>
        <v>0</v>
      </c>
      <c r="K34" s="29">
        <f t="shared" si="17"/>
        <v>-0.07000000000000028</v>
      </c>
      <c r="L34" s="14">
        <f t="shared" si="0"/>
        <v>7.93</v>
      </c>
      <c r="M34" s="34">
        <v>5</v>
      </c>
      <c r="N34" s="57"/>
      <c r="O34" s="14">
        <f t="shared" si="18"/>
        <v>10</v>
      </c>
      <c r="P34" s="28">
        <v>8.9</v>
      </c>
      <c r="Q34" s="57"/>
      <c r="R34" s="14">
        <f t="shared" si="19"/>
        <v>0</v>
      </c>
      <c r="S34" s="14">
        <f t="shared" si="20"/>
        <v>0</v>
      </c>
      <c r="T34" s="14">
        <f t="shared" si="21"/>
        <v>0</v>
      </c>
      <c r="U34" s="29">
        <f t="shared" si="22"/>
        <v>-0.009999999999999966</v>
      </c>
      <c r="V34" s="14">
        <f t="shared" si="1"/>
        <v>7.99</v>
      </c>
      <c r="W34" s="28">
        <v>4.3</v>
      </c>
      <c r="X34" s="57"/>
      <c r="Y34" s="14">
        <f t="shared" si="23"/>
        <v>0</v>
      </c>
      <c r="Z34" s="14">
        <f t="shared" si="24"/>
        <v>0</v>
      </c>
      <c r="AA34" s="14">
        <f t="shared" si="25"/>
        <v>0</v>
      </c>
      <c r="AB34" s="29">
        <f t="shared" si="26"/>
        <v>-0.05</v>
      </c>
      <c r="AC34" s="14">
        <f t="shared" si="2"/>
        <v>7.95</v>
      </c>
      <c r="AD34" s="28">
        <v>10.7</v>
      </c>
      <c r="AE34" s="57"/>
      <c r="AF34" s="14">
        <f t="shared" si="27"/>
        <v>0</v>
      </c>
      <c r="AG34" s="14">
        <f t="shared" si="28"/>
        <v>0</v>
      </c>
      <c r="AH34" s="14">
        <f t="shared" si="29"/>
        <v>0</v>
      </c>
      <c r="AI34" s="29">
        <f t="shared" si="30"/>
        <v>-0.010000000000000142</v>
      </c>
      <c r="AJ34" s="14">
        <f t="shared" si="3"/>
        <v>7.99</v>
      </c>
      <c r="AK34" s="34">
        <v>2</v>
      </c>
      <c r="AL34" s="34">
        <v>2</v>
      </c>
      <c r="AM34" s="34">
        <v>2</v>
      </c>
      <c r="AN34" s="34">
        <v>2</v>
      </c>
      <c r="AO34" s="57"/>
      <c r="AP34" s="14">
        <f t="shared" si="31"/>
        <v>8</v>
      </c>
      <c r="AQ34" s="34"/>
      <c r="AR34" s="34"/>
      <c r="AS34" s="49">
        <v>0</v>
      </c>
      <c r="AT34" s="34">
        <v>3</v>
      </c>
      <c r="AU34" s="34">
        <v>2</v>
      </c>
      <c r="AV34" s="34">
        <v>2</v>
      </c>
      <c r="AW34" s="50"/>
      <c r="AX34" s="14">
        <f t="shared" si="32"/>
        <v>10</v>
      </c>
      <c r="AY34" s="57"/>
      <c r="AZ34" s="57"/>
      <c r="BA34" s="57"/>
      <c r="BB34" s="57"/>
      <c r="BC34" s="29">
        <f t="shared" si="33"/>
        <v>0</v>
      </c>
      <c r="BD34" s="50"/>
      <c r="BE34" s="15">
        <v>0.13125</v>
      </c>
      <c r="BF34" s="49">
        <f t="shared" si="4"/>
        <v>62.86000000000001</v>
      </c>
      <c r="BG34" s="34">
        <v>0</v>
      </c>
      <c r="BH34" s="39">
        <f t="shared" si="34"/>
        <v>62.86000000000001</v>
      </c>
      <c r="BI34" s="64"/>
      <c r="BM34" s="14">
        <f t="shared" si="5"/>
        <v>0.7000000000000028</v>
      </c>
      <c r="BN34" s="14">
        <f t="shared" si="35"/>
        <v>0</v>
      </c>
      <c r="BO34" s="14">
        <f t="shared" si="36"/>
        <v>0.7000000000000028</v>
      </c>
      <c r="BP34" s="14">
        <f t="shared" si="6"/>
        <v>1</v>
      </c>
      <c r="BR34" s="14">
        <f t="shared" si="7"/>
        <v>0.09999999999999964</v>
      </c>
      <c r="BS34" s="14">
        <f t="shared" si="37"/>
        <v>0</v>
      </c>
      <c r="BT34" s="14">
        <f t="shared" si="38"/>
        <v>0.09999999999999964</v>
      </c>
      <c r="BU34" s="14">
        <f t="shared" si="8"/>
        <v>1</v>
      </c>
      <c r="BW34" s="14">
        <f t="shared" si="9"/>
        <v>0.5</v>
      </c>
      <c r="BX34" s="14">
        <f t="shared" si="39"/>
        <v>0</v>
      </c>
      <c r="BY34" s="14">
        <f t="shared" si="40"/>
        <v>0.5</v>
      </c>
      <c r="BZ34" s="14">
        <f t="shared" si="10"/>
        <v>1</v>
      </c>
      <c r="CB34" s="14">
        <f t="shared" si="11"/>
        <v>0.10000000000000142</v>
      </c>
      <c r="CC34" s="14">
        <f t="shared" si="41"/>
        <v>0</v>
      </c>
      <c r="CD34" s="14">
        <f t="shared" si="42"/>
        <v>0.10000000000000142</v>
      </c>
      <c r="CE34" s="14">
        <f t="shared" si="12"/>
        <v>1</v>
      </c>
    </row>
    <row r="35" spans="1:83" ht="12.75">
      <c r="A35" s="34">
        <v>26</v>
      </c>
      <c r="B35" s="54" t="str">
        <f>IF(A35="","",VLOOKUP(A35,Жеребьевка!$A$6:$C$45,2,0))</f>
        <v>Полещук Юлия Викторовна</v>
      </c>
      <c r="C35" s="34">
        <v>0</v>
      </c>
      <c r="D35" s="34">
        <v>1</v>
      </c>
      <c r="E35" s="14">
        <f t="shared" si="13"/>
        <v>2</v>
      </c>
      <c r="F35" s="28">
        <v>34</v>
      </c>
      <c r="G35" s="57"/>
      <c r="H35" s="14">
        <f t="shared" si="14"/>
        <v>0</v>
      </c>
      <c r="I35" s="14">
        <f t="shared" si="15"/>
        <v>0</v>
      </c>
      <c r="J35" s="14">
        <f t="shared" si="16"/>
        <v>0</v>
      </c>
      <c r="K35" s="29">
        <f t="shared" si="17"/>
        <v>-0.2</v>
      </c>
      <c r="L35" s="14">
        <f t="shared" si="0"/>
        <v>7.8</v>
      </c>
      <c r="M35" s="34">
        <v>5</v>
      </c>
      <c r="N35" s="57"/>
      <c r="O35" s="14">
        <f t="shared" si="18"/>
        <v>10</v>
      </c>
      <c r="P35" s="28">
        <v>7.7</v>
      </c>
      <c r="Q35" s="57"/>
      <c r="R35" s="14">
        <f t="shared" si="19"/>
        <v>0</v>
      </c>
      <c r="S35" s="14">
        <f t="shared" si="20"/>
        <v>0</v>
      </c>
      <c r="T35" s="14">
        <f t="shared" si="21"/>
        <v>0</v>
      </c>
      <c r="U35" s="29">
        <f t="shared" si="22"/>
        <v>-0.13</v>
      </c>
      <c r="V35" s="14">
        <f t="shared" si="1"/>
        <v>7.87</v>
      </c>
      <c r="W35" s="28">
        <v>4.1</v>
      </c>
      <c r="X35" s="57"/>
      <c r="Y35" s="14">
        <f t="shared" si="23"/>
        <v>0</v>
      </c>
      <c r="Z35" s="14">
        <f t="shared" si="24"/>
        <v>0</v>
      </c>
      <c r="AA35" s="14">
        <f t="shared" si="25"/>
        <v>0</v>
      </c>
      <c r="AB35" s="29">
        <f t="shared" si="26"/>
        <v>-0.07000000000000002</v>
      </c>
      <c r="AC35" s="14">
        <f t="shared" si="2"/>
        <v>7.93</v>
      </c>
      <c r="AD35" s="28">
        <v>13.5</v>
      </c>
      <c r="AE35" s="57"/>
      <c r="AF35" s="14">
        <f t="shared" si="27"/>
        <v>0</v>
      </c>
      <c r="AG35" s="14">
        <f t="shared" si="28"/>
        <v>0</v>
      </c>
      <c r="AH35" s="14">
        <f t="shared" si="29"/>
        <v>0</v>
      </c>
      <c r="AI35" s="29">
        <f t="shared" si="30"/>
        <v>-0.26999999999999996</v>
      </c>
      <c r="AJ35" s="14">
        <f t="shared" si="3"/>
        <v>7.73</v>
      </c>
      <c r="AK35" s="34">
        <v>1</v>
      </c>
      <c r="AL35" s="34">
        <v>2</v>
      </c>
      <c r="AM35" s="34">
        <v>2</v>
      </c>
      <c r="AN35" s="34">
        <v>2</v>
      </c>
      <c r="AO35" s="57"/>
      <c r="AP35" s="14">
        <f t="shared" si="31"/>
        <v>7</v>
      </c>
      <c r="AQ35" s="34"/>
      <c r="AR35" s="34"/>
      <c r="AS35" s="49">
        <v>0</v>
      </c>
      <c r="AT35" s="34">
        <v>1</v>
      </c>
      <c r="AU35" s="34">
        <v>2</v>
      </c>
      <c r="AV35" s="34">
        <v>2</v>
      </c>
      <c r="AW35" s="50"/>
      <c r="AX35" s="14">
        <f t="shared" si="32"/>
        <v>6</v>
      </c>
      <c r="AY35" s="57"/>
      <c r="AZ35" s="57"/>
      <c r="BA35" s="57"/>
      <c r="BB35" s="57"/>
      <c r="BC35" s="29">
        <f t="shared" si="33"/>
        <v>0</v>
      </c>
      <c r="BD35" s="50"/>
      <c r="BE35" s="15">
        <v>0.14583333333333334</v>
      </c>
      <c r="BF35" s="49">
        <f t="shared" si="4"/>
        <v>56.33</v>
      </c>
      <c r="BG35" s="34">
        <v>0</v>
      </c>
      <c r="BH35" s="39">
        <f t="shared" si="34"/>
        <v>56.33</v>
      </c>
      <c r="BI35" s="64"/>
      <c r="BM35" s="14">
        <f t="shared" si="5"/>
        <v>2</v>
      </c>
      <c r="BN35" s="14">
        <f t="shared" si="35"/>
        <v>2</v>
      </c>
      <c r="BO35" s="14">
        <f t="shared" si="36"/>
        <v>0</v>
      </c>
      <c r="BP35" s="14">
        <f t="shared" si="6"/>
        <v>1</v>
      </c>
      <c r="BR35" s="14">
        <f t="shared" si="7"/>
        <v>1.2999999999999998</v>
      </c>
      <c r="BS35" s="14">
        <f t="shared" si="37"/>
        <v>1</v>
      </c>
      <c r="BT35" s="14">
        <f t="shared" si="38"/>
        <v>0.2999999999999998</v>
      </c>
      <c r="BU35" s="14">
        <f t="shared" si="8"/>
        <v>1</v>
      </c>
      <c r="BW35" s="14">
        <f t="shared" si="9"/>
        <v>0.7000000000000002</v>
      </c>
      <c r="BX35" s="14">
        <f t="shared" si="39"/>
        <v>0</v>
      </c>
      <c r="BY35" s="14">
        <f t="shared" si="40"/>
        <v>0.7000000000000002</v>
      </c>
      <c r="BZ35" s="14">
        <f t="shared" si="10"/>
        <v>1</v>
      </c>
      <c r="CB35" s="14">
        <f t="shared" si="11"/>
        <v>2.6999999999999993</v>
      </c>
      <c r="CC35" s="14">
        <f t="shared" si="41"/>
        <v>2</v>
      </c>
      <c r="CD35" s="14">
        <f t="shared" si="42"/>
        <v>0.6999999999999993</v>
      </c>
      <c r="CE35" s="14">
        <f t="shared" si="12"/>
        <v>1</v>
      </c>
    </row>
    <row r="36" spans="1:83" ht="12.75">
      <c r="A36" s="34">
        <v>27</v>
      </c>
      <c r="B36" s="54" t="str">
        <f>IF(A36="","",VLOOKUP(A36,Жеребьевка!$A$6:$C$45,2,0))</f>
        <v>Прохорова Ольга Викторовна</v>
      </c>
      <c r="C36" s="34">
        <v>1</v>
      </c>
      <c r="D36" s="34">
        <v>1</v>
      </c>
      <c r="E36" s="14">
        <f t="shared" si="13"/>
        <v>3</v>
      </c>
      <c r="F36" s="28">
        <v>34</v>
      </c>
      <c r="G36" s="57"/>
      <c r="H36" s="14">
        <f t="shared" si="14"/>
        <v>0</v>
      </c>
      <c r="I36" s="14">
        <f t="shared" si="15"/>
        <v>0</v>
      </c>
      <c r="J36" s="14">
        <f t="shared" si="16"/>
        <v>0</v>
      </c>
      <c r="K36" s="29">
        <f t="shared" si="17"/>
        <v>-0.2</v>
      </c>
      <c r="L36" s="14">
        <f t="shared" si="0"/>
        <v>7.8</v>
      </c>
      <c r="M36" s="34">
        <v>5</v>
      </c>
      <c r="N36" s="57"/>
      <c r="O36" s="14">
        <f t="shared" si="18"/>
        <v>10</v>
      </c>
      <c r="P36" s="28">
        <v>6.7</v>
      </c>
      <c r="Q36" s="57"/>
      <c r="R36" s="14">
        <f t="shared" si="19"/>
        <v>0</v>
      </c>
      <c r="S36" s="14">
        <f t="shared" si="20"/>
        <v>0</v>
      </c>
      <c r="T36" s="14">
        <f t="shared" si="21"/>
        <v>0</v>
      </c>
      <c r="U36" s="29">
        <f t="shared" si="22"/>
        <v>-0.22999999999999998</v>
      </c>
      <c r="V36" s="14">
        <f t="shared" si="1"/>
        <v>7.77</v>
      </c>
      <c r="W36" s="28">
        <v>4.2</v>
      </c>
      <c r="X36" s="57"/>
      <c r="Y36" s="14">
        <f t="shared" si="23"/>
        <v>0</v>
      </c>
      <c r="Z36" s="14">
        <f t="shared" si="24"/>
        <v>0</v>
      </c>
      <c r="AA36" s="14">
        <f t="shared" si="25"/>
        <v>0</v>
      </c>
      <c r="AB36" s="29">
        <f t="shared" si="26"/>
        <v>-0.05999999999999997</v>
      </c>
      <c r="AC36" s="14">
        <f t="shared" si="2"/>
        <v>7.94</v>
      </c>
      <c r="AD36" s="28">
        <v>12.2</v>
      </c>
      <c r="AE36" s="57"/>
      <c r="AF36" s="14">
        <f t="shared" si="27"/>
        <v>0</v>
      </c>
      <c r="AG36" s="14">
        <f t="shared" si="28"/>
        <v>0</v>
      </c>
      <c r="AH36" s="14">
        <f t="shared" si="29"/>
        <v>0</v>
      </c>
      <c r="AI36" s="29">
        <f t="shared" si="30"/>
        <v>-0.13999999999999987</v>
      </c>
      <c r="AJ36" s="14">
        <f t="shared" si="3"/>
        <v>7.86</v>
      </c>
      <c r="AK36" s="34">
        <v>3</v>
      </c>
      <c r="AL36" s="34">
        <v>2</v>
      </c>
      <c r="AM36" s="34">
        <v>2</v>
      </c>
      <c r="AN36" s="34">
        <v>2</v>
      </c>
      <c r="AO36" s="57"/>
      <c r="AP36" s="14">
        <f t="shared" si="31"/>
        <v>9</v>
      </c>
      <c r="AQ36" s="34"/>
      <c r="AR36" s="34"/>
      <c r="AS36" s="49">
        <v>0</v>
      </c>
      <c r="AT36" s="34">
        <v>3</v>
      </c>
      <c r="AU36" s="34">
        <v>2</v>
      </c>
      <c r="AV36" s="34">
        <v>2</v>
      </c>
      <c r="AW36" s="50"/>
      <c r="AX36" s="14">
        <f t="shared" si="32"/>
        <v>10</v>
      </c>
      <c r="AY36" s="57"/>
      <c r="AZ36" s="57"/>
      <c r="BA36" s="57"/>
      <c r="BB36" s="57"/>
      <c r="BC36" s="29">
        <f t="shared" si="33"/>
        <v>0</v>
      </c>
      <c r="BD36" s="50">
        <v>1</v>
      </c>
      <c r="BE36" s="15">
        <v>0.14652777777777778</v>
      </c>
      <c r="BF36" s="49">
        <f t="shared" si="4"/>
        <v>0</v>
      </c>
      <c r="BG36" s="34">
        <v>0</v>
      </c>
      <c r="BH36" s="39">
        <f t="shared" si="34"/>
        <v>0</v>
      </c>
      <c r="BI36" s="64"/>
      <c r="BM36" s="14">
        <f t="shared" si="5"/>
        <v>2</v>
      </c>
      <c r="BN36" s="14">
        <f t="shared" si="35"/>
        <v>2</v>
      </c>
      <c r="BO36" s="14">
        <f t="shared" si="36"/>
        <v>0</v>
      </c>
      <c r="BP36" s="14">
        <f t="shared" si="6"/>
        <v>1</v>
      </c>
      <c r="BR36" s="14">
        <f t="shared" si="7"/>
        <v>2.3</v>
      </c>
      <c r="BS36" s="14">
        <f t="shared" si="37"/>
        <v>2</v>
      </c>
      <c r="BT36" s="14">
        <f t="shared" si="38"/>
        <v>0.2999999999999998</v>
      </c>
      <c r="BU36" s="14">
        <f t="shared" si="8"/>
        <v>1</v>
      </c>
      <c r="BW36" s="14">
        <f t="shared" si="9"/>
        <v>0.5999999999999996</v>
      </c>
      <c r="BX36" s="14">
        <f t="shared" si="39"/>
        <v>0</v>
      </c>
      <c r="BY36" s="14">
        <f t="shared" si="40"/>
        <v>0.5999999999999996</v>
      </c>
      <c r="BZ36" s="14">
        <f t="shared" si="10"/>
        <v>1</v>
      </c>
      <c r="CB36" s="14">
        <f t="shared" si="11"/>
        <v>1.3999999999999986</v>
      </c>
      <c r="CC36" s="14">
        <f t="shared" si="41"/>
        <v>1</v>
      </c>
      <c r="CD36" s="14">
        <f t="shared" si="42"/>
        <v>0.3999999999999986</v>
      </c>
      <c r="CE36" s="14">
        <f t="shared" si="12"/>
        <v>1</v>
      </c>
    </row>
    <row r="37" spans="1:83" ht="12.75">
      <c r="A37" s="34">
        <v>28</v>
      </c>
      <c r="B37" s="54" t="str">
        <f>IF(A37="","",VLOOKUP(A37,Жеребьевка!$A$6:$C$45,2,0))</f>
        <v>Филатов Александр Валерьевич</v>
      </c>
      <c r="C37" s="34">
        <v>1</v>
      </c>
      <c r="D37" s="34">
        <v>0</v>
      </c>
      <c r="E37" s="14">
        <f t="shared" si="13"/>
        <v>1</v>
      </c>
      <c r="F37" s="28">
        <v>36.7</v>
      </c>
      <c r="G37" s="57"/>
      <c r="H37" s="14">
        <f t="shared" si="14"/>
        <v>0</v>
      </c>
      <c r="I37" s="14">
        <f t="shared" si="15"/>
        <v>0</v>
      </c>
      <c r="J37" s="14">
        <f t="shared" si="16"/>
        <v>0</v>
      </c>
      <c r="K37" s="29">
        <f t="shared" si="17"/>
        <v>-0.07000000000000028</v>
      </c>
      <c r="L37" s="14">
        <f t="shared" si="0"/>
        <v>7.93</v>
      </c>
      <c r="M37" s="34">
        <v>5</v>
      </c>
      <c r="N37" s="57"/>
      <c r="O37" s="14">
        <f t="shared" si="18"/>
        <v>10</v>
      </c>
      <c r="P37" s="28">
        <v>6.5</v>
      </c>
      <c r="Q37" s="57"/>
      <c r="R37" s="14">
        <f t="shared" si="19"/>
        <v>0</v>
      </c>
      <c r="S37" s="14">
        <f t="shared" si="20"/>
        <v>0</v>
      </c>
      <c r="T37" s="14">
        <f t="shared" si="21"/>
        <v>0</v>
      </c>
      <c r="U37" s="29">
        <f t="shared" si="22"/>
        <v>-0.25</v>
      </c>
      <c r="V37" s="14">
        <f t="shared" si="1"/>
        <v>7.75</v>
      </c>
      <c r="W37" s="28">
        <v>4.5</v>
      </c>
      <c r="X37" s="57"/>
      <c r="Y37" s="14">
        <f t="shared" si="23"/>
        <v>0</v>
      </c>
      <c r="Z37" s="14">
        <f t="shared" si="24"/>
        <v>0</v>
      </c>
      <c r="AA37" s="14">
        <f t="shared" si="25"/>
        <v>0</v>
      </c>
      <c r="AB37" s="29">
        <f t="shared" si="26"/>
        <v>-0.029999999999999985</v>
      </c>
      <c r="AC37" s="14">
        <f t="shared" si="2"/>
        <v>7.97</v>
      </c>
      <c r="AD37" s="28">
        <v>10.6</v>
      </c>
      <c r="AE37" s="57"/>
      <c r="AF37" s="14">
        <f t="shared" si="27"/>
        <v>0</v>
      </c>
      <c r="AG37" s="14">
        <f t="shared" si="28"/>
        <v>0</v>
      </c>
      <c r="AH37" s="14">
        <f t="shared" si="29"/>
        <v>0</v>
      </c>
      <c r="AI37" s="29">
        <f t="shared" si="30"/>
        <v>-0.020000000000000108</v>
      </c>
      <c r="AJ37" s="14">
        <f t="shared" si="3"/>
        <v>7.9799999999999995</v>
      </c>
      <c r="AK37" s="34">
        <v>3</v>
      </c>
      <c r="AL37" s="34">
        <v>2</v>
      </c>
      <c r="AM37" s="34">
        <v>2</v>
      </c>
      <c r="AN37" s="34">
        <v>2</v>
      </c>
      <c r="AO37" s="57"/>
      <c r="AP37" s="14">
        <f t="shared" si="31"/>
        <v>9</v>
      </c>
      <c r="AQ37" s="34"/>
      <c r="AR37" s="34"/>
      <c r="AS37" s="49">
        <v>0</v>
      </c>
      <c r="AT37" s="34">
        <v>2</v>
      </c>
      <c r="AU37" s="34">
        <v>2</v>
      </c>
      <c r="AV37" s="34">
        <v>0</v>
      </c>
      <c r="AW37" s="50">
        <v>1</v>
      </c>
      <c r="AX37" s="14">
        <f t="shared" si="32"/>
        <v>0</v>
      </c>
      <c r="AY37" s="57"/>
      <c r="AZ37" s="57"/>
      <c r="BA37" s="57"/>
      <c r="BB37" s="57"/>
      <c r="BC37" s="29">
        <f t="shared" si="33"/>
        <v>0</v>
      </c>
      <c r="BD37" s="50"/>
      <c r="BE37" s="15">
        <v>0.14097222222222222</v>
      </c>
      <c r="BF37" s="49">
        <f t="shared" si="4"/>
        <v>51.629999999999995</v>
      </c>
      <c r="BG37" s="34">
        <v>0</v>
      </c>
      <c r="BH37" s="39">
        <f t="shared" si="34"/>
        <v>51.629999999999995</v>
      </c>
      <c r="BI37" s="64"/>
      <c r="BM37" s="14">
        <f t="shared" si="5"/>
        <v>0.7000000000000028</v>
      </c>
      <c r="BN37" s="14">
        <f t="shared" si="35"/>
        <v>0</v>
      </c>
      <c r="BO37" s="14">
        <f t="shared" si="36"/>
        <v>0.7000000000000028</v>
      </c>
      <c r="BP37" s="14">
        <f t="shared" si="6"/>
        <v>1</v>
      </c>
      <c r="BR37" s="14">
        <f t="shared" si="7"/>
        <v>2.5</v>
      </c>
      <c r="BS37" s="14">
        <f t="shared" si="37"/>
        <v>2</v>
      </c>
      <c r="BT37" s="14">
        <f t="shared" si="38"/>
        <v>0.5</v>
      </c>
      <c r="BU37" s="14">
        <f t="shared" si="8"/>
        <v>1</v>
      </c>
      <c r="BW37" s="14">
        <f t="shared" si="9"/>
        <v>0.2999999999999998</v>
      </c>
      <c r="BX37" s="14">
        <f t="shared" si="39"/>
        <v>0</v>
      </c>
      <c r="BY37" s="14">
        <f t="shared" si="40"/>
        <v>0.2999999999999998</v>
      </c>
      <c r="BZ37" s="14">
        <f t="shared" si="10"/>
        <v>1</v>
      </c>
      <c r="CB37" s="14">
        <f t="shared" si="11"/>
        <v>0.20000000000000107</v>
      </c>
      <c r="CC37" s="14">
        <f t="shared" si="41"/>
        <v>0</v>
      </c>
      <c r="CD37" s="14">
        <f t="shared" si="42"/>
        <v>0.20000000000000107</v>
      </c>
      <c r="CE37" s="14">
        <f t="shared" si="12"/>
        <v>1</v>
      </c>
    </row>
    <row r="38" spans="1:83" ht="12.75">
      <c r="A38" s="34">
        <v>29</v>
      </c>
      <c r="B38" s="54" t="str">
        <f>IF(A38="","",VLOOKUP(A38,Жеребьевка!$A$6:$C$45,2,0))</f>
        <v>Шереверов Алексей Юрьевич</v>
      </c>
      <c r="C38" s="34">
        <v>0</v>
      </c>
      <c r="D38" s="34">
        <v>1</v>
      </c>
      <c r="E38" s="14">
        <f t="shared" si="13"/>
        <v>2</v>
      </c>
      <c r="F38" s="28">
        <v>29.4</v>
      </c>
      <c r="G38" s="57"/>
      <c r="H38" s="14">
        <f t="shared" si="14"/>
        <v>0</v>
      </c>
      <c r="I38" s="14">
        <f t="shared" si="15"/>
        <v>1</v>
      </c>
      <c r="J38" s="14">
        <f t="shared" si="16"/>
        <v>0</v>
      </c>
      <c r="K38" s="29">
        <f t="shared" si="17"/>
        <v>0</v>
      </c>
      <c r="L38" s="14">
        <f t="shared" si="0"/>
        <v>0</v>
      </c>
      <c r="M38" s="34">
        <v>5</v>
      </c>
      <c r="N38" s="57"/>
      <c r="O38" s="14">
        <f t="shared" si="18"/>
        <v>10</v>
      </c>
      <c r="P38" s="28">
        <v>8.4</v>
      </c>
      <c r="Q38" s="57"/>
      <c r="R38" s="14">
        <f t="shared" si="19"/>
        <v>0</v>
      </c>
      <c r="S38" s="14">
        <f t="shared" si="20"/>
        <v>0</v>
      </c>
      <c r="T38" s="14">
        <f t="shared" si="21"/>
        <v>0</v>
      </c>
      <c r="U38" s="29">
        <f t="shared" si="22"/>
        <v>-0.05999999999999997</v>
      </c>
      <c r="V38" s="14">
        <f t="shared" si="1"/>
        <v>7.94</v>
      </c>
      <c r="W38" s="28">
        <v>4.8</v>
      </c>
      <c r="X38" s="57"/>
      <c r="Y38" s="14">
        <f t="shared" si="23"/>
        <v>8</v>
      </c>
      <c r="Z38" s="14">
        <f t="shared" si="24"/>
        <v>0</v>
      </c>
      <c r="AA38" s="14">
        <f t="shared" si="25"/>
        <v>0</v>
      </c>
      <c r="AB38" s="29">
        <f t="shared" si="26"/>
        <v>0</v>
      </c>
      <c r="AC38" s="14">
        <f t="shared" si="2"/>
        <v>8</v>
      </c>
      <c r="AD38" s="28">
        <v>11</v>
      </c>
      <c r="AE38" s="57"/>
      <c r="AF38" s="14">
        <f t="shared" si="27"/>
        <v>0</v>
      </c>
      <c r="AG38" s="14">
        <f t="shared" si="28"/>
        <v>0</v>
      </c>
      <c r="AH38" s="14">
        <f t="shared" si="29"/>
        <v>0</v>
      </c>
      <c r="AI38" s="29">
        <f t="shared" si="30"/>
        <v>-0.01999999999999993</v>
      </c>
      <c r="AJ38" s="14">
        <f t="shared" si="3"/>
        <v>7.98</v>
      </c>
      <c r="AK38" s="34">
        <v>1</v>
      </c>
      <c r="AL38" s="34">
        <v>2</v>
      </c>
      <c r="AM38" s="34">
        <v>2</v>
      </c>
      <c r="AN38" s="34">
        <v>2</v>
      </c>
      <c r="AO38" s="57"/>
      <c r="AP38" s="14">
        <f t="shared" si="31"/>
        <v>7</v>
      </c>
      <c r="AQ38" s="34"/>
      <c r="AR38" s="34"/>
      <c r="AS38" s="49">
        <v>0</v>
      </c>
      <c r="AT38" s="34">
        <v>3</v>
      </c>
      <c r="AU38" s="34">
        <v>2</v>
      </c>
      <c r="AV38" s="34">
        <v>2</v>
      </c>
      <c r="AW38" s="50"/>
      <c r="AX38" s="14">
        <f t="shared" si="32"/>
        <v>10</v>
      </c>
      <c r="AY38" s="57"/>
      <c r="AZ38" s="57"/>
      <c r="BA38" s="57"/>
      <c r="BB38" s="57"/>
      <c r="BC38" s="29">
        <f t="shared" si="33"/>
        <v>0</v>
      </c>
      <c r="BD38" s="50"/>
      <c r="BE38" s="15">
        <v>0.1361111111111111</v>
      </c>
      <c r="BF38" s="49">
        <f t="shared" si="4"/>
        <v>52.92</v>
      </c>
      <c r="BG38" s="34">
        <v>0</v>
      </c>
      <c r="BH38" s="39">
        <f t="shared" si="34"/>
        <v>52.92</v>
      </c>
      <c r="BI38" s="64"/>
      <c r="BM38" s="14">
        <f t="shared" si="5"/>
        <v>6.600000000000001</v>
      </c>
      <c r="BN38" s="14">
        <f t="shared" si="35"/>
        <v>6</v>
      </c>
      <c r="BO38" s="14">
        <f t="shared" si="36"/>
        <v>0.6000000000000014</v>
      </c>
      <c r="BP38" s="14">
        <f t="shared" si="6"/>
        <v>0</v>
      </c>
      <c r="BR38" s="14">
        <f t="shared" si="7"/>
        <v>0.5999999999999996</v>
      </c>
      <c r="BS38" s="14">
        <f t="shared" si="37"/>
        <v>0</v>
      </c>
      <c r="BT38" s="14">
        <f t="shared" si="38"/>
        <v>0.5999999999999996</v>
      </c>
      <c r="BU38" s="14">
        <f t="shared" si="8"/>
        <v>1</v>
      </c>
      <c r="BW38" s="14">
        <f t="shared" si="9"/>
        <v>0</v>
      </c>
      <c r="BX38" s="14">
        <f t="shared" si="39"/>
        <v>0</v>
      </c>
      <c r="BY38" s="14">
        <f t="shared" si="40"/>
        <v>0</v>
      </c>
      <c r="BZ38" s="14">
        <f t="shared" si="10"/>
        <v>1</v>
      </c>
      <c r="CB38" s="14">
        <f t="shared" si="11"/>
        <v>0.1999999999999993</v>
      </c>
      <c r="CC38" s="14">
        <f t="shared" si="41"/>
        <v>0</v>
      </c>
      <c r="CD38" s="14">
        <f t="shared" si="42"/>
        <v>0.1999999999999993</v>
      </c>
      <c r="CE38" s="14">
        <f t="shared" si="12"/>
        <v>1</v>
      </c>
    </row>
    <row r="39" spans="1:83" ht="12.75">
      <c r="A39" s="34">
        <v>30</v>
      </c>
      <c r="B39" s="54" t="str">
        <f>IF(A39="","",VLOOKUP(A39,Жеребьевка!$A$6:$C$45,2,0))</f>
        <v>Дикова Ирина Владимировна</v>
      </c>
      <c r="C39" s="34">
        <v>1</v>
      </c>
      <c r="D39" s="34">
        <v>1</v>
      </c>
      <c r="E39" s="14">
        <f t="shared" si="13"/>
        <v>3</v>
      </c>
      <c r="F39" s="28">
        <v>33.3</v>
      </c>
      <c r="G39" s="57"/>
      <c r="H39" s="14">
        <f t="shared" si="14"/>
        <v>0</v>
      </c>
      <c r="I39" s="14">
        <f t="shared" si="15"/>
        <v>0</v>
      </c>
      <c r="J39" s="14">
        <f t="shared" si="16"/>
        <v>0</v>
      </c>
      <c r="K39" s="29">
        <f t="shared" si="17"/>
        <v>-0.2700000000000003</v>
      </c>
      <c r="L39" s="14">
        <f t="shared" si="0"/>
        <v>7.7299999999999995</v>
      </c>
      <c r="M39" s="34">
        <v>5</v>
      </c>
      <c r="N39" s="57"/>
      <c r="O39" s="14">
        <f t="shared" si="18"/>
        <v>10</v>
      </c>
      <c r="P39" s="28">
        <v>9.5</v>
      </c>
      <c r="Q39" s="57"/>
      <c r="R39" s="14">
        <f t="shared" si="19"/>
        <v>0</v>
      </c>
      <c r="S39" s="14">
        <f t="shared" si="20"/>
        <v>0</v>
      </c>
      <c r="T39" s="14">
        <f t="shared" si="21"/>
        <v>0</v>
      </c>
      <c r="U39" s="29">
        <f t="shared" si="22"/>
        <v>-0.05</v>
      </c>
      <c r="V39" s="14">
        <f t="shared" si="1"/>
        <v>7.95</v>
      </c>
      <c r="W39" s="28">
        <v>4.2</v>
      </c>
      <c r="X39" s="57"/>
      <c r="Y39" s="14">
        <f t="shared" si="23"/>
        <v>0</v>
      </c>
      <c r="Z39" s="14">
        <f t="shared" si="24"/>
        <v>0</v>
      </c>
      <c r="AA39" s="14">
        <f t="shared" si="25"/>
        <v>0</v>
      </c>
      <c r="AB39" s="29">
        <f t="shared" si="26"/>
        <v>-0.05999999999999997</v>
      </c>
      <c r="AC39" s="14">
        <f t="shared" si="2"/>
        <v>7.94</v>
      </c>
      <c r="AD39" s="28">
        <v>12.2</v>
      </c>
      <c r="AE39" s="57"/>
      <c r="AF39" s="14">
        <f t="shared" si="27"/>
        <v>0</v>
      </c>
      <c r="AG39" s="14">
        <f t="shared" si="28"/>
        <v>0</v>
      </c>
      <c r="AH39" s="14">
        <f t="shared" si="29"/>
        <v>0</v>
      </c>
      <c r="AI39" s="29">
        <f t="shared" si="30"/>
        <v>-0.13999999999999987</v>
      </c>
      <c r="AJ39" s="14">
        <f t="shared" si="3"/>
        <v>7.86</v>
      </c>
      <c r="AK39" s="34">
        <v>2</v>
      </c>
      <c r="AL39" s="34">
        <v>2</v>
      </c>
      <c r="AM39" s="34">
        <v>2</v>
      </c>
      <c r="AN39" s="34">
        <v>2</v>
      </c>
      <c r="AO39" s="57"/>
      <c r="AP39" s="14">
        <f t="shared" si="31"/>
        <v>8</v>
      </c>
      <c r="AQ39" s="34"/>
      <c r="AR39" s="34"/>
      <c r="AS39" s="49">
        <v>0</v>
      </c>
      <c r="AT39" s="34">
        <v>3</v>
      </c>
      <c r="AU39" s="34">
        <v>2</v>
      </c>
      <c r="AV39" s="34">
        <v>2</v>
      </c>
      <c r="AW39" s="50"/>
      <c r="AX39" s="14">
        <f t="shared" si="32"/>
        <v>10</v>
      </c>
      <c r="AY39" s="57"/>
      <c r="AZ39" s="57"/>
      <c r="BA39" s="57"/>
      <c r="BB39" s="57"/>
      <c r="BC39" s="29">
        <f t="shared" si="33"/>
        <v>0</v>
      </c>
      <c r="BD39" s="50"/>
      <c r="BE39" s="15">
        <v>0.13402777777777777</v>
      </c>
      <c r="BF39" s="49">
        <f t="shared" si="4"/>
        <v>62.48</v>
      </c>
      <c r="BG39" s="34">
        <v>0</v>
      </c>
      <c r="BH39" s="39">
        <f t="shared" si="34"/>
        <v>62.48</v>
      </c>
      <c r="BI39" s="64"/>
      <c r="BM39" s="14">
        <f t="shared" si="5"/>
        <v>2.700000000000003</v>
      </c>
      <c r="BN39" s="14">
        <f t="shared" si="35"/>
        <v>2</v>
      </c>
      <c r="BO39" s="14">
        <f t="shared" si="36"/>
        <v>0.7000000000000028</v>
      </c>
      <c r="BP39" s="14">
        <f t="shared" si="6"/>
        <v>1</v>
      </c>
      <c r="BR39" s="14">
        <f t="shared" si="7"/>
        <v>0.5</v>
      </c>
      <c r="BS39" s="14">
        <f t="shared" si="37"/>
        <v>0</v>
      </c>
      <c r="BT39" s="14">
        <f t="shared" si="38"/>
        <v>0.5</v>
      </c>
      <c r="BU39" s="14">
        <f t="shared" si="8"/>
        <v>1</v>
      </c>
      <c r="BW39" s="14">
        <f t="shared" si="9"/>
        <v>0.5999999999999996</v>
      </c>
      <c r="BX39" s="14">
        <f t="shared" si="39"/>
        <v>0</v>
      </c>
      <c r="BY39" s="14">
        <f t="shared" si="40"/>
        <v>0.5999999999999996</v>
      </c>
      <c r="BZ39" s="14">
        <f t="shared" si="10"/>
        <v>1</v>
      </c>
      <c r="CB39" s="14">
        <f t="shared" si="11"/>
        <v>1.3999999999999986</v>
      </c>
      <c r="CC39" s="14">
        <f t="shared" si="41"/>
        <v>1</v>
      </c>
      <c r="CD39" s="14">
        <f t="shared" si="42"/>
        <v>0.3999999999999986</v>
      </c>
      <c r="CE39" s="14">
        <f t="shared" si="12"/>
        <v>1</v>
      </c>
    </row>
    <row r="40" spans="1:83" ht="12.75">
      <c r="A40" s="34">
        <v>31</v>
      </c>
      <c r="B40" s="54" t="str">
        <f>IF(A40="","",VLOOKUP(A40,Жеребьевка!$A$6:$C$45,2,0))</f>
        <v>Демина Кристина Альбертовна</v>
      </c>
      <c r="C40" s="34">
        <v>1</v>
      </c>
      <c r="D40" s="34">
        <v>1</v>
      </c>
      <c r="E40" s="14">
        <f t="shared" si="13"/>
        <v>3</v>
      </c>
      <c r="F40" s="28">
        <v>41.9</v>
      </c>
      <c r="G40" s="57"/>
      <c r="H40" s="14">
        <f t="shared" si="14"/>
        <v>0</v>
      </c>
      <c r="I40" s="14">
        <f t="shared" si="15"/>
        <v>0</v>
      </c>
      <c r="J40" s="14">
        <f t="shared" si="16"/>
        <v>1</v>
      </c>
      <c r="K40" s="29">
        <f t="shared" si="17"/>
        <v>0</v>
      </c>
      <c r="L40" s="14">
        <f t="shared" si="0"/>
        <v>0</v>
      </c>
      <c r="M40" s="34">
        <v>5</v>
      </c>
      <c r="N40" s="57"/>
      <c r="O40" s="14">
        <f t="shared" si="18"/>
        <v>10</v>
      </c>
      <c r="P40" s="28">
        <v>6.5</v>
      </c>
      <c r="Q40" s="57"/>
      <c r="R40" s="14">
        <f t="shared" si="19"/>
        <v>0</v>
      </c>
      <c r="S40" s="14">
        <f t="shared" si="20"/>
        <v>0</v>
      </c>
      <c r="T40" s="14">
        <f t="shared" si="21"/>
        <v>0</v>
      </c>
      <c r="U40" s="29">
        <f t="shared" si="22"/>
        <v>-0.25</v>
      </c>
      <c r="V40" s="14">
        <f t="shared" si="1"/>
        <v>7.75</v>
      </c>
      <c r="W40" s="28">
        <v>3.3</v>
      </c>
      <c r="X40" s="57"/>
      <c r="Y40" s="14">
        <f t="shared" si="23"/>
        <v>0</v>
      </c>
      <c r="Z40" s="14">
        <f t="shared" si="24"/>
        <v>0</v>
      </c>
      <c r="AA40" s="14">
        <f t="shared" si="25"/>
        <v>0</v>
      </c>
      <c r="AB40" s="29">
        <f t="shared" si="26"/>
        <v>-0.15000000000000002</v>
      </c>
      <c r="AC40" s="14">
        <f t="shared" si="2"/>
        <v>7.85</v>
      </c>
      <c r="AD40" s="28">
        <v>9.6</v>
      </c>
      <c r="AE40" s="57"/>
      <c r="AF40" s="14">
        <f t="shared" si="27"/>
        <v>0</v>
      </c>
      <c r="AG40" s="14">
        <f t="shared" si="28"/>
        <v>0</v>
      </c>
      <c r="AH40" s="14">
        <f t="shared" si="29"/>
        <v>0</v>
      </c>
      <c r="AI40" s="29">
        <f t="shared" si="30"/>
        <v>-0.1200000000000001</v>
      </c>
      <c r="AJ40" s="14">
        <f t="shared" si="3"/>
        <v>7.88</v>
      </c>
      <c r="AK40" s="34">
        <v>2</v>
      </c>
      <c r="AL40" s="34">
        <v>2</v>
      </c>
      <c r="AM40" s="34">
        <v>2</v>
      </c>
      <c r="AN40" s="34">
        <v>2</v>
      </c>
      <c r="AO40" s="57"/>
      <c r="AP40" s="14">
        <f t="shared" si="31"/>
        <v>8</v>
      </c>
      <c r="AQ40" s="34"/>
      <c r="AR40" s="34"/>
      <c r="AS40" s="49">
        <v>0</v>
      </c>
      <c r="AT40" s="34">
        <v>1</v>
      </c>
      <c r="AU40" s="34">
        <v>2</v>
      </c>
      <c r="AV40" s="34">
        <v>2</v>
      </c>
      <c r="AW40" s="50">
        <v>1</v>
      </c>
      <c r="AX40" s="14">
        <f t="shared" si="32"/>
        <v>0</v>
      </c>
      <c r="AY40" s="57"/>
      <c r="AZ40" s="57"/>
      <c r="BA40" s="57"/>
      <c r="BB40" s="57"/>
      <c r="BC40" s="29">
        <f t="shared" si="33"/>
        <v>0</v>
      </c>
      <c r="BD40" s="50">
        <v>1</v>
      </c>
      <c r="BE40" s="15">
        <v>0.21944444444444444</v>
      </c>
      <c r="BF40" s="49">
        <f t="shared" si="4"/>
        <v>0</v>
      </c>
      <c r="BG40" s="34">
        <v>0</v>
      </c>
      <c r="BH40" s="39">
        <f t="shared" si="34"/>
        <v>0</v>
      </c>
      <c r="BI40" s="64"/>
      <c r="BM40" s="14">
        <f t="shared" si="5"/>
        <v>5.899999999999999</v>
      </c>
      <c r="BN40" s="14">
        <f t="shared" si="35"/>
        <v>5</v>
      </c>
      <c r="BO40" s="14">
        <f t="shared" si="36"/>
        <v>0.8999999999999986</v>
      </c>
      <c r="BP40" s="14">
        <f t="shared" si="6"/>
        <v>0</v>
      </c>
      <c r="BR40" s="14">
        <f t="shared" si="7"/>
        <v>2.5</v>
      </c>
      <c r="BS40" s="14">
        <f t="shared" si="37"/>
        <v>2</v>
      </c>
      <c r="BT40" s="14">
        <f t="shared" si="38"/>
        <v>0.5</v>
      </c>
      <c r="BU40" s="14">
        <f t="shared" si="8"/>
        <v>1</v>
      </c>
      <c r="BW40" s="14">
        <f t="shared" si="9"/>
        <v>1.5</v>
      </c>
      <c r="BX40" s="14">
        <f t="shared" si="39"/>
        <v>1</v>
      </c>
      <c r="BY40" s="14">
        <f t="shared" si="40"/>
        <v>0.5</v>
      </c>
      <c r="BZ40" s="14">
        <f t="shared" si="10"/>
        <v>1</v>
      </c>
      <c r="CB40" s="14">
        <f t="shared" si="11"/>
        <v>1.200000000000001</v>
      </c>
      <c r="CC40" s="14">
        <f t="shared" si="41"/>
        <v>1</v>
      </c>
      <c r="CD40" s="14">
        <f t="shared" si="42"/>
        <v>0.20000000000000107</v>
      </c>
      <c r="CE40" s="14">
        <f t="shared" si="12"/>
        <v>1</v>
      </c>
    </row>
    <row r="41" spans="1:83" ht="12.75">
      <c r="A41" s="34">
        <v>32</v>
      </c>
      <c r="B41" s="54" t="str">
        <f>IF(A41="","",VLOOKUP(A41,Жеребьевка!$A$6:$C$45,2,0))</f>
        <v>Долганов Никита Вячеславович</v>
      </c>
      <c r="C41" s="34">
        <v>1</v>
      </c>
      <c r="D41" s="34">
        <v>1</v>
      </c>
      <c r="E41" s="14">
        <f t="shared" si="13"/>
        <v>3</v>
      </c>
      <c r="F41" s="28">
        <v>39.6</v>
      </c>
      <c r="G41" s="57"/>
      <c r="H41" s="14">
        <f t="shared" si="14"/>
        <v>0</v>
      </c>
      <c r="I41" s="14">
        <f t="shared" si="15"/>
        <v>0</v>
      </c>
      <c r="J41" s="14">
        <f t="shared" si="16"/>
        <v>1</v>
      </c>
      <c r="K41" s="29">
        <f t="shared" si="17"/>
        <v>0</v>
      </c>
      <c r="L41" s="14">
        <f t="shared" si="0"/>
        <v>0</v>
      </c>
      <c r="M41" s="34">
        <v>5</v>
      </c>
      <c r="N41" s="57"/>
      <c r="O41" s="14">
        <f t="shared" si="18"/>
        <v>10</v>
      </c>
      <c r="P41" s="28">
        <v>8.3</v>
      </c>
      <c r="Q41" s="57"/>
      <c r="R41" s="14">
        <f t="shared" si="19"/>
        <v>0</v>
      </c>
      <c r="S41" s="14">
        <f t="shared" si="20"/>
        <v>0</v>
      </c>
      <c r="T41" s="14">
        <f t="shared" si="21"/>
        <v>0</v>
      </c>
      <c r="U41" s="29">
        <f t="shared" si="22"/>
        <v>-0.06999999999999994</v>
      </c>
      <c r="V41" s="14">
        <f t="shared" si="1"/>
        <v>7.93</v>
      </c>
      <c r="W41" s="28">
        <v>3.8</v>
      </c>
      <c r="X41" s="57"/>
      <c r="Y41" s="14">
        <f t="shared" si="23"/>
        <v>0</v>
      </c>
      <c r="Z41" s="14">
        <f t="shared" si="24"/>
        <v>0</v>
      </c>
      <c r="AA41" s="14">
        <f t="shared" si="25"/>
        <v>0</v>
      </c>
      <c r="AB41" s="29">
        <f t="shared" si="26"/>
        <v>-0.1</v>
      </c>
      <c r="AC41" s="14">
        <f t="shared" si="2"/>
        <v>7.9</v>
      </c>
      <c r="AD41" s="28">
        <v>11.8</v>
      </c>
      <c r="AE41" s="57"/>
      <c r="AF41" s="14">
        <f t="shared" si="27"/>
        <v>0</v>
      </c>
      <c r="AG41" s="14">
        <f t="shared" si="28"/>
        <v>0</v>
      </c>
      <c r="AH41" s="14">
        <f t="shared" si="29"/>
        <v>0</v>
      </c>
      <c r="AI41" s="29">
        <f t="shared" si="30"/>
        <v>-0.1</v>
      </c>
      <c r="AJ41" s="14">
        <f t="shared" si="3"/>
        <v>7.9</v>
      </c>
      <c r="AK41" s="34">
        <v>3</v>
      </c>
      <c r="AL41" s="34">
        <v>2</v>
      </c>
      <c r="AM41" s="34">
        <v>2</v>
      </c>
      <c r="AN41" s="34">
        <v>2</v>
      </c>
      <c r="AO41" s="57"/>
      <c r="AP41" s="14">
        <f t="shared" si="31"/>
        <v>9</v>
      </c>
      <c r="AQ41" s="34"/>
      <c r="AR41" s="34"/>
      <c r="AS41" s="49">
        <v>0</v>
      </c>
      <c r="AT41" s="34">
        <v>3</v>
      </c>
      <c r="AU41" s="34">
        <v>2</v>
      </c>
      <c r="AV41" s="34">
        <v>2</v>
      </c>
      <c r="AW41" s="50"/>
      <c r="AX41" s="14">
        <f t="shared" si="32"/>
        <v>10</v>
      </c>
      <c r="AY41" s="57"/>
      <c r="AZ41" s="57"/>
      <c r="BA41" s="57"/>
      <c r="BB41" s="57"/>
      <c r="BC41" s="29">
        <f t="shared" si="33"/>
        <v>0</v>
      </c>
      <c r="BD41" s="50"/>
      <c r="BE41" s="15">
        <v>0.14583333333333334</v>
      </c>
      <c r="BF41" s="49">
        <f t="shared" si="4"/>
        <v>55.73</v>
      </c>
      <c r="BG41" s="34">
        <v>0</v>
      </c>
      <c r="BH41" s="39">
        <f t="shared" si="34"/>
        <v>55.73</v>
      </c>
      <c r="BI41" s="64"/>
      <c r="BM41" s="14">
        <f t="shared" si="5"/>
        <v>3.6000000000000014</v>
      </c>
      <c r="BN41" s="14">
        <f t="shared" si="35"/>
        <v>3</v>
      </c>
      <c r="BO41" s="14">
        <f t="shared" si="36"/>
        <v>0.6000000000000014</v>
      </c>
      <c r="BP41" s="14">
        <f t="shared" si="6"/>
        <v>0</v>
      </c>
      <c r="BR41" s="14">
        <f t="shared" si="7"/>
        <v>0.6999999999999993</v>
      </c>
      <c r="BS41" s="14">
        <f t="shared" si="37"/>
        <v>0</v>
      </c>
      <c r="BT41" s="14">
        <f t="shared" si="38"/>
        <v>0.6999999999999993</v>
      </c>
      <c r="BU41" s="14">
        <f t="shared" si="8"/>
        <v>1</v>
      </c>
      <c r="BW41" s="14">
        <f t="shared" si="9"/>
        <v>1</v>
      </c>
      <c r="BX41" s="14">
        <f t="shared" si="39"/>
        <v>1</v>
      </c>
      <c r="BY41" s="14">
        <f t="shared" si="40"/>
        <v>0</v>
      </c>
      <c r="BZ41" s="14">
        <f t="shared" si="10"/>
        <v>1</v>
      </c>
      <c r="CB41" s="14">
        <f t="shared" si="11"/>
        <v>1</v>
      </c>
      <c r="CC41" s="14">
        <f t="shared" si="41"/>
        <v>1</v>
      </c>
      <c r="CD41" s="14">
        <f t="shared" si="42"/>
        <v>0</v>
      </c>
      <c r="CE41" s="14">
        <f t="shared" si="12"/>
        <v>1</v>
      </c>
    </row>
    <row r="42" spans="1:83" ht="12.75">
      <c r="A42" s="34">
        <v>33</v>
      </c>
      <c r="B42" s="54" t="str">
        <f>IF(A42="","",VLOOKUP(A42,Жеребьевка!$A$6:$C$45,2,0))</f>
        <v>Панин Сергей Эдуардович</v>
      </c>
      <c r="C42" s="34">
        <v>1</v>
      </c>
      <c r="D42" s="34">
        <v>1</v>
      </c>
      <c r="E42" s="14">
        <f t="shared" si="13"/>
        <v>3</v>
      </c>
      <c r="F42" s="28">
        <v>35.8</v>
      </c>
      <c r="G42" s="57"/>
      <c r="H42" s="14">
        <f t="shared" si="14"/>
        <v>0</v>
      </c>
      <c r="I42" s="14">
        <f t="shared" si="15"/>
        <v>0</v>
      </c>
      <c r="J42" s="14">
        <f t="shared" si="16"/>
        <v>0</v>
      </c>
      <c r="K42" s="29">
        <f t="shared" si="17"/>
        <v>-0.020000000000000285</v>
      </c>
      <c r="L42" s="14">
        <f t="shared" si="0"/>
        <v>7.9799999999999995</v>
      </c>
      <c r="M42" s="34">
        <v>5</v>
      </c>
      <c r="N42" s="57"/>
      <c r="O42" s="14">
        <f t="shared" si="18"/>
        <v>10</v>
      </c>
      <c r="P42" s="28">
        <v>8</v>
      </c>
      <c r="Q42" s="57"/>
      <c r="R42" s="14">
        <f t="shared" si="19"/>
        <v>0</v>
      </c>
      <c r="S42" s="14">
        <f t="shared" si="20"/>
        <v>0</v>
      </c>
      <c r="T42" s="14">
        <f t="shared" si="21"/>
        <v>0</v>
      </c>
      <c r="U42" s="29">
        <f t="shared" si="22"/>
        <v>-0.1</v>
      </c>
      <c r="V42" s="14">
        <f t="shared" si="1"/>
        <v>7.9</v>
      </c>
      <c r="W42" s="28">
        <v>4.6</v>
      </c>
      <c r="X42" s="57"/>
      <c r="Y42" s="14">
        <f t="shared" si="23"/>
        <v>0</v>
      </c>
      <c r="Z42" s="14">
        <f t="shared" si="24"/>
        <v>0</v>
      </c>
      <c r="AA42" s="14">
        <f t="shared" si="25"/>
        <v>0</v>
      </c>
      <c r="AB42" s="29">
        <f t="shared" si="26"/>
        <v>-0.020000000000000018</v>
      </c>
      <c r="AC42" s="14">
        <f t="shared" si="2"/>
        <v>7.98</v>
      </c>
      <c r="AD42" s="28">
        <v>11.2</v>
      </c>
      <c r="AE42" s="57"/>
      <c r="AF42" s="14">
        <f t="shared" si="27"/>
        <v>0</v>
      </c>
      <c r="AG42" s="14">
        <f t="shared" si="28"/>
        <v>0</v>
      </c>
      <c r="AH42" s="14">
        <f t="shared" si="29"/>
        <v>0</v>
      </c>
      <c r="AI42" s="29">
        <f t="shared" si="30"/>
        <v>-0.03999999999999986</v>
      </c>
      <c r="AJ42" s="14">
        <f t="shared" si="3"/>
        <v>7.96</v>
      </c>
      <c r="AK42" s="34">
        <v>2</v>
      </c>
      <c r="AL42" s="34">
        <v>2</v>
      </c>
      <c r="AM42" s="34">
        <v>2</v>
      </c>
      <c r="AN42" s="34">
        <v>2</v>
      </c>
      <c r="AO42" s="57"/>
      <c r="AP42" s="14">
        <f t="shared" si="31"/>
        <v>8</v>
      </c>
      <c r="AQ42" s="34"/>
      <c r="AR42" s="34"/>
      <c r="AS42" s="49">
        <v>0</v>
      </c>
      <c r="AT42" s="34">
        <v>3</v>
      </c>
      <c r="AU42" s="34">
        <v>2</v>
      </c>
      <c r="AV42" s="34">
        <v>2</v>
      </c>
      <c r="AW42" s="50"/>
      <c r="AX42" s="14">
        <f t="shared" si="32"/>
        <v>10</v>
      </c>
      <c r="AY42" s="57"/>
      <c r="AZ42" s="57"/>
      <c r="BA42" s="57"/>
      <c r="BB42" s="57"/>
      <c r="BC42" s="29">
        <f t="shared" si="33"/>
        <v>0</v>
      </c>
      <c r="BD42" s="50"/>
      <c r="BE42" s="15">
        <v>0.14652777777777778</v>
      </c>
      <c r="BF42" s="49">
        <f t="shared" si="4"/>
        <v>62.82</v>
      </c>
      <c r="BG42" s="34">
        <v>0</v>
      </c>
      <c r="BH42" s="39">
        <f t="shared" si="34"/>
        <v>62.82</v>
      </c>
      <c r="BI42" s="64"/>
      <c r="BM42" s="14">
        <f t="shared" si="5"/>
        <v>0.20000000000000284</v>
      </c>
      <c r="BN42" s="14">
        <f t="shared" si="35"/>
        <v>0</v>
      </c>
      <c r="BO42" s="14">
        <f t="shared" si="36"/>
        <v>0.20000000000000284</v>
      </c>
      <c r="BP42" s="14">
        <f t="shared" si="6"/>
        <v>1</v>
      </c>
      <c r="BR42" s="14">
        <f t="shared" si="7"/>
        <v>1</v>
      </c>
      <c r="BS42" s="14">
        <f t="shared" si="37"/>
        <v>1</v>
      </c>
      <c r="BT42" s="14">
        <f t="shared" si="38"/>
        <v>0</v>
      </c>
      <c r="BU42" s="14">
        <f t="shared" si="8"/>
        <v>1</v>
      </c>
      <c r="BW42" s="14">
        <f t="shared" si="9"/>
        <v>0.20000000000000018</v>
      </c>
      <c r="BX42" s="14">
        <f t="shared" si="39"/>
        <v>0</v>
      </c>
      <c r="BY42" s="14">
        <f t="shared" si="40"/>
        <v>0.20000000000000018</v>
      </c>
      <c r="BZ42" s="14">
        <f t="shared" si="10"/>
        <v>1</v>
      </c>
      <c r="CB42" s="14">
        <f t="shared" si="11"/>
        <v>0.3999999999999986</v>
      </c>
      <c r="CC42" s="14">
        <f t="shared" si="41"/>
        <v>0</v>
      </c>
      <c r="CD42" s="14">
        <f t="shared" si="42"/>
        <v>0.3999999999999986</v>
      </c>
      <c r="CE42" s="14">
        <f t="shared" si="12"/>
        <v>1</v>
      </c>
    </row>
    <row r="43" spans="1:83" ht="12.75">
      <c r="A43" s="34">
        <v>34</v>
      </c>
      <c r="B43" s="54" t="str">
        <f>IF(A43="","",VLOOKUP(A43,Жеребьевка!$A$6:$C$45,2,0))</f>
        <v>Шучалова Татьяна Владимировна</v>
      </c>
      <c r="C43" s="34">
        <v>1</v>
      </c>
      <c r="D43" s="34">
        <v>1</v>
      </c>
      <c r="E43" s="14">
        <f t="shared" si="13"/>
        <v>3</v>
      </c>
      <c r="F43" s="28">
        <v>30.1</v>
      </c>
      <c r="G43" s="57"/>
      <c r="H43" s="14">
        <f t="shared" si="14"/>
        <v>0</v>
      </c>
      <c r="I43" s="14">
        <f t="shared" si="15"/>
        <v>1</v>
      </c>
      <c r="J43" s="14">
        <f t="shared" si="16"/>
        <v>0</v>
      </c>
      <c r="K43" s="29">
        <f t="shared" si="17"/>
        <v>0</v>
      </c>
      <c r="L43" s="14">
        <f t="shared" si="0"/>
        <v>0</v>
      </c>
      <c r="M43" s="34">
        <v>5</v>
      </c>
      <c r="N43" s="57"/>
      <c r="O43" s="14">
        <f t="shared" si="18"/>
        <v>10</v>
      </c>
      <c r="P43" s="28">
        <v>6.1</v>
      </c>
      <c r="Q43" s="57"/>
      <c r="R43" s="14">
        <f t="shared" si="19"/>
        <v>0</v>
      </c>
      <c r="S43" s="14">
        <f t="shared" si="20"/>
        <v>0</v>
      </c>
      <c r="T43" s="14">
        <f t="shared" si="21"/>
        <v>0</v>
      </c>
      <c r="U43" s="29">
        <f t="shared" si="22"/>
        <v>-0.29000000000000004</v>
      </c>
      <c r="V43" s="14">
        <f t="shared" si="1"/>
        <v>7.71</v>
      </c>
      <c r="W43" s="28">
        <v>3.8</v>
      </c>
      <c r="X43" s="57"/>
      <c r="Y43" s="14">
        <f t="shared" si="23"/>
        <v>0</v>
      </c>
      <c r="Z43" s="14">
        <f t="shared" si="24"/>
        <v>0</v>
      </c>
      <c r="AA43" s="14">
        <f t="shared" si="25"/>
        <v>0</v>
      </c>
      <c r="AB43" s="29">
        <f t="shared" si="26"/>
        <v>-0.1</v>
      </c>
      <c r="AC43" s="14">
        <f t="shared" si="2"/>
        <v>7.9</v>
      </c>
      <c r="AD43" s="28">
        <v>13.3</v>
      </c>
      <c r="AE43" s="57"/>
      <c r="AF43" s="14">
        <f t="shared" si="27"/>
        <v>0</v>
      </c>
      <c r="AG43" s="14">
        <f t="shared" si="28"/>
        <v>0</v>
      </c>
      <c r="AH43" s="14">
        <f t="shared" si="29"/>
        <v>0</v>
      </c>
      <c r="AI43" s="29">
        <f t="shared" si="30"/>
        <v>-0.25</v>
      </c>
      <c r="AJ43" s="14">
        <f t="shared" si="3"/>
        <v>7.75</v>
      </c>
      <c r="AK43" s="34">
        <v>2</v>
      </c>
      <c r="AL43" s="34">
        <v>2</v>
      </c>
      <c r="AM43" s="34">
        <v>2</v>
      </c>
      <c r="AN43" s="34">
        <v>2</v>
      </c>
      <c r="AO43" s="57"/>
      <c r="AP43" s="14">
        <f t="shared" si="31"/>
        <v>8</v>
      </c>
      <c r="AQ43" s="34"/>
      <c r="AR43" s="34"/>
      <c r="AS43" s="49">
        <v>0</v>
      </c>
      <c r="AT43" s="34">
        <v>1</v>
      </c>
      <c r="AU43" s="34">
        <v>2</v>
      </c>
      <c r="AV43" s="34">
        <v>2</v>
      </c>
      <c r="AW43" s="50"/>
      <c r="AX43" s="14">
        <f t="shared" si="32"/>
        <v>6</v>
      </c>
      <c r="AY43" s="57"/>
      <c r="AZ43" s="57"/>
      <c r="BA43" s="57"/>
      <c r="BB43" s="57"/>
      <c r="BC43" s="29">
        <f t="shared" si="33"/>
        <v>0</v>
      </c>
      <c r="BD43" s="50"/>
      <c r="BE43" s="15">
        <v>0.14791666666666667</v>
      </c>
      <c r="BF43" s="49">
        <f t="shared" si="4"/>
        <v>50.36</v>
      </c>
      <c r="BG43" s="34">
        <v>0</v>
      </c>
      <c r="BH43" s="39">
        <f t="shared" si="34"/>
        <v>50.36</v>
      </c>
      <c r="BI43" s="64"/>
      <c r="BM43" s="14">
        <f t="shared" si="5"/>
        <v>5.899999999999999</v>
      </c>
      <c r="BN43" s="14">
        <f t="shared" si="35"/>
        <v>5</v>
      </c>
      <c r="BO43" s="14">
        <f t="shared" si="36"/>
        <v>0.8999999999999986</v>
      </c>
      <c r="BP43" s="14">
        <f t="shared" si="6"/>
        <v>0</v>
      </c>
      <c r="BR43" s="14">
        <f t="shared" si="7"/>
        <v>2.9000000000000004</v>
      </c>
      <c r="BS43" s="14">
        <f t="shared" si="37"/>
        <v>2</v>
      </c>
      <c r="BT43" s="14">
        <f t="shared" si="38"/>
        <v>0.9000000000000004</v>
      </c>
      <c r="BU43" s="14">
        <f t="shared" si="8"/>
        <v>1</v>
      </c>
      <c r="BW43" s="14">
        <f t="shared" si="9"/>
        <v>1</v>
      </c>
      <c r="BX43" s="14">
        <f t="shared" si="39"/>
        <v>1</v>
      </c>
      <c r="BY43" s="14">
        <f t="shared" si="40"/>
        <v>0</v>
      </c>
      <c r="BZ43" s="14">
        <f t="shared" si="10"/>
        <v>1</v>
      </c>
      <c r="CB43" s="14">
        <f t="shared" si="11"/>
        <v>2.5</v>
      </c>
      <c r="CC43" s="14">
        <f t="shared" si="41"/>
        <v>2</v>
      </c>
      <c r="CD43" s="14">
        <f t="shared" si="42"/>
        <v>0.5</v>
      </c>
      <c r="CE43" s="14">
        <f t="shared" si="12"/>
        <v>1</v>
      </c>
    </row>
    <row r="44" spans="1:83" ht="12.75">
      <c r="A44" s="34">
        <v>35</v>
      </c>
      <c r="B44" s="54" t="str">
        <f>IF(A44="","",VLOOKUP(A44,Жеребьевка!$A$6:$C$45,2,0))</f>
        <v>Гнусов Павел Михайлович</v>
      </c>
      <c r="C44" s="34">
        <v>1</v>
      </c>
      <c r="D44" s="34">
        <v>1</v>
      </c>
      <c r="E44" s="14">
        <f t="shared" si="13"/>
        <v>3</v>
      </c>
      <c r="F44" s="28">
        <v>37.2</v>
      </c>
      <c r="G44" s="57"/>
      <c r="H44" s="14">
        <f t="shared" si="14"/>
        <v>0</v>
      </c>
      <c r="I44" s="14">
        <f t="shared" si="15"/>
        <v>0</v>
      </c>
      <c r="J44" s="14">
        <f t="shared" si="16"/>
        <v>0</v>
      </c>
      <c r="K44" s="29">
        <f t="shared" si="17"/>
        <v>-0.12000000000000029</v>
      </c>
      <c r="L44" s="14">
        <f t="shared" si="0"/>
        <v>7.88</v>
      </c>
      <c r="M44" s="34">
        <v>5</v>
      </c>
      <c r="N44" s="57"/>
      <c r="O44" s="14">
        <f t="shared" si="18"/>
        <v>10</v>
      </c>
      <c r="P44" s="28">
        <v>7.8</v>
      </c>
      <c r="Q44" s="57"/>
      <c r="R44" s="14">
        <f t="shared" si="19"/>
        <v>0</v>
      </c>
      <c r="S44" s="14">
        <f t="shared" si="20"/>
        <v>0</v>
      </c>
      <c r="T44" s="14">
        <f t="shared" si="21"/>
        <v>0</v>
      </c>
      <c r="U44" s="29">
        <f t="shared" si="22"/>
        <v>-0.12000000000000002</v>
      </c>
      <c r="V44" s="14">
        <f t="shared" si="1"/>
        <v>7.88</v>
      </c>
      <c r="W44" s="28">
        <v>4.6</v>
      </c>
      <c r="X44" s="57"/>
      <c r="Y44" s="14">
        <f t="shared" si="23"/>
        <v>0</v>
      </c>
      <c r="Z44" s="14">
        <f t="shared" si="24"/>
        <v>0</v>
      </c>
      <c r="AA44" s="14">
        <f t="shared" si="25"/>
        <v>0</v>
      </c>
      <c r="AB44" s="29">
        <f t="shared" si="26"/>
        <v>-0.020000000000000018</v>
      </c>
      <c r="AC44" s="14">
        <f t="shared" si="2"/>
        <v>7.98</v>
      </c>
      <c r="AD44" s="28">
        <v>10.3</v>
      </c>
      <c r="AE44" s="57"/>
      <c r="AF44" s="14">
        <f t="shared" si="27"/>
        <v>0</v>
      </c>
      <c r="AG44" s="14">
        <f t="shared" si="28"/>
        <v>0</v>
      </c>
      <c r="AH44" s="14">
        <f t="shared" si="29"/>
        <v>0</v>
      </c>
      <c r="AI44" s="29">
        <f t="shared" si="30"/>
        <v>-0.05</v>
      </c>
      <c r="AJ44" s="14">
        <f t="shared" si="3"/>
        <v>7.95</v>
      </c>
      <c r="AK44" s="34">
        <v>2</v>
      </c>
      <c r="AL44" s="34">
        <v>2</v>
      </c>
      <c r="AM44" s="34">
        <v>2</v>
      </c>
      <c r="AN44" s="34">
        <v>2</v>
      </c>
      <c r="AO44" s="57"/>
      <c r="AP44" s="14">
        <f t="shared" si="31"/>
        <v>8</v>
      </c>
      <c r="AQ44" s="34"/>
      <c r="AR44" s="34"/>
      <c r="AS44" s="49">
        <v>0</v>
      </c>
      <c r="AT44" s="34">
        <v>2</v>
      </c>
      <c r="AU44" s="34">
        <v>2</v>
      </c>
      <c r="AV44" s="34">
        <v>2</v>
      </c>
      <c r="AW44" s="50"/>
      <c r="AX44" s="14">
        <f t="shared" si="32"/>
        <v>8</v>
      </c>
      <c r="AY44" s="57"/>
      <c r="AZ44" s="57"/>
      <c r="BA44" s="57"/>
      <c r="BB44" s="57"/>
      <c r="BC44" s="29">
        <f t="shared" si="33"/>
        <v>0</v>
      </c>
      <c r="BD44" s="50"/>
      <c r="BE44" s="15">
        <v>0.14444444444444446</v>
      </c>
      <c r="BF44" s="49">
        <f t="shared" si="4"/>
        <v>60.69</v>
      </c>
      <c r="BG44" s="34">
        <v>0</v>
      </c>
      <c r="BH44" s="39">
        <f t="shared" si="34"/>
        <v>60.69</v>
      </c>
      <c r="BI44" s="64"/>
      <c r="BM44" s="14">
        <f t="shared" si="5"/>
        <v>1.2000000000000028</v>
      </c>
      <c r="BN44" s="14">
        <f t="shared" si="35"/>
        <v>1</v>
      </c>
      <c r="BO44" s="14">
        <f t="shared" si="36"/>
        <v>0.20000000000000284</v>
      </c>
      <c r="BP44" s="14">
        <f t="shared" si="6"/>
        <v>1</v>
      </c>
      <c r="BR44" s="14">
        <f t="shared" si="7"/>
        <v>1.2000000000000002</v>
      </c>
      <c r="BS44" s="14">
        <f t="shared" si="37"/>
        <v>1</v>
      </c>
      <c r="BT44" s="14">
        <f t="shared" si="38"/>
        <v>0.20000000000000018</v>
      </c>
      <c r="BU44" s="14">
        <f t="shared" si="8"/>
        <v>1</v>
      </c>
      <c r="BW44" s="14">
        <f t="shared" si="9"/>
        <v>0.20000000000000018</v>
      </c>
      <c r="BX44" s="14">
        <f t="shared" si="39"/>
        <v>0</v>
      </c>
      <c r="BY44" s="14">
        <f t="shared" si="40"/>
        <v>0.20000000000000018</v>
      </c>
      <c r="BZ44" s="14">
        <f t="shared" si="10"/>
        <v>1</v>
      </c>
      <c r="CB44" s="14">
        <f t="shared" si="11"/>
        <v>0.5</v>
      </c>
      <c r="CC44" s="14">
        <f t="shared" si="41"/>
        <v>0</v>
      </c>
      <c r="CD44" s="14">
        <f t="shared" si="42"/>
        <v>0.5</v>
      </c>
      <c r="CE44" s="14">
        <f t="shared" si="12"/>
        <v>1</v>
      </c>
    </row>
    <row r="45" spans="1:83" ht="12.75">
      <c r="A45" s="34">
        <v>36</v>
      </c>
      <c r="B45" s="54" t="str">
        <f>IF(A45="","",VLOOKUP(A45,Жеребьевка!$A$6:$C$45,2,0))</f>
        <v>Гайнутдинова Асия Фаридовна</v>
      </c>
      <c r="C45" s="34">
        <v>1</v>
      </c>
      <c r="D45" s="34">
        <v>0</v>
      </c>
      <c r="E45" s="14">
        <f t="shared" si="13"/>
        <v>1</v>
      </c>
      <c r="F45" s="28">
        <v>34.4</v>
      </c>
      <c r="G45" s="57"/>
      <c r="H45" s="14">
        <f t="shared" si="14"/>
        <v>0</v>
      </c>
      <c r="I45" s="14">
        <f t="shared" si="15"/>
        <v>0</v>
      </c>
      <c r="J45" s="14">
        <f t="shared" si="16"/>
        <v>0</v>
      </c>
      <c r="K45" s="29">
        <f t="shared" si="17"/>
        <v>-0.16000000000000014</v>
      </c>
      <c r="L45" s="14">
        <f t="shared" si="0"/>
        <v>7.84</v>
      </c>
      <c r="M45" s="34">
        <v>5</v>
      </c>
      <c r="N45" s="57"/>
      <c r="O45" s="14">
        <f t="shared" si="18"/>
        <v>10</v>
      </c>
      <c r="P45" s="28">
        <v>7.5</v>
      </c>
      <c r="Q45" s="57"/>
      <c r="R45" s="14">
        <f t="shared" si="19"/>
        <v>0</v>
      </c>
      <c r="S45" s="14">
        <f t="shared" si="20"/>
        <v>0</v>
      </c>
      <c r="T45" s="14">
        <f t="shared" si="21"/>
        <v>0</v>
      </c>
      <c r="U45" s="29">
        <f t="shared" si="22"/>
        <v>-0.15000000000000002</v>
      </c>
      <c r="V45" s="14">
        <f t="shared" si="1"/>
        <v>7.85</v>
      </c>
      <c r="W45" s="28">
        <v>4.5</v>
      </c>
      <c r="X45" s="57"/>
      <c r="Y45" s="14">
        <f t="shared" si="23"/>
        <v>0</v>
      </c>
      <c r="Z45" s="14">
        <f t="shared" si="24"/>
        <v>0</v>
      </c>
      <c r="AA45" s="14">
        <f t="shared" si="25"/>
        <v>0</v>
      </c>
      <c r="AB45" s="29">
        <f t="shared" si="26"/>
        <v>-0.029999999999999985</v>
      </c>
      <c r="AC45" s="14">
        <f t="shared" si="2"/>
        <v>7.97</v>
      </c>
      <c r="AD45" s="28">
        <v>10.3</v>
      </c>
      <c r="AE45" s="57"/>
      <c r="AF45" s="14">
        <f t="shared" si="27"/>
        <v>0</v>
      </c>
      <c r="AG45" s="14">
        <f t="shared" si="28"/>
        <v>0</v>
      </c>
      <c r="AH45" s="14">
        <f t="shared" si="29"/>
        <v>0</v>
      </c>
      <c r="AI45" s="29">
        <f t="shared" si="30"/>
        <v>-0.05</v>
      </c>
      <c r="AJ45" s="14">
        <f t="shared" si="3"/>
        <v>7.95</v>
      </c>
      <c r="AK45" s="34">
        <v>2</v>
      </c>
      <c r="AL45" s="34">
        <v>2</v>
      </c>
      <c r="AM45" s="34">
        <v>2</v>
      </c>
      <c r="AN45" s="34">
        <v>2</v>
      </c>
      <c r="AO45" s="57"/>
      <c r="AP45" s="14">
        <f t="shared" si="31"/>
        <v>8</v>
      </c>
      <c r="AQ45" s="34"/>
      <c r="AR45" s="34"/>
      <c r="AS45" s="49">
        <v>0</v>
      </c>
      <c r="AT45" s="34">
        <v>1</v>
      </c>
      <c r="AU45" s="34">
        <v>2</v>
      </c>
      <c r="AV45" s="34">
        <v>2</v>
      </c>
      <c r="AW45" s="50"/>
      <c r="AX45" s="14">
        <f t="shared" si="32"/>
        <v>6</v>
      </c>
      <c r="AY45" s="57"/>
      <c r="AZ45" s="57"/>
      <c r="BA45" s="57"/>
      <c r="BB45" s="57"/>
      <c r="BC45" s="29">
        <f t="shared" si="33"/>
        <v>0</v>
      </c>
      <c r="BD45" s="50"/>
      <c r="BE45" s="15">
        <v>0.13055555555555556</v>
      </c>
      <c r="BF45" s="49">
        <f t="shared" si="4"/>
        <v>56.61</v>
      </c>
      <c r="BG45" s="34">
        <v>0</v>
      </c>
      <c r="BH45" s="39">
        <f t="shared" si="34"/>
        <v>56.61</v>
      </c>
      <c r="BI45" s="64"/>
      <c r="BM45" s="14">
        <f t="shared" si="5"/>
        <v>1.6000000000000014</v>
      </c>
      <c r="BN45" s="14">
        <f t="shared" si="35"/>
        <v>1</v>
      </c>
      <c r="BO45" s="14">
        <f t="shared" si="36"/>
        <v>0.6000000000000014</v>
      </c>
      <c r="BP45" s="14">
        <f t="shared" si="6"/>
        <v>1</v>
      </c>
      <c r="BR45" s="14">
        <f t="shared" si="7"/>
        <v>1.5</v>
      </c>
      <c r="BS45" s="14">
        <f t="shared" si="37"/>
        <v>1</v>
      </c>
      <c r="BT45" s="14">
        <f t="shared" si="38"/>
        <v>0.5</v>
      </c>
      <c r="BU45" s="14">
        <f t="shared" si="8"/>
        <v>1</v>
      </c>
      <c r="BW45" s="14">
        <f t="shared" si="9"/>
        <v>0.2999999999999998</v>
      </c>
      <c r="BX45" s="14">
        <f t="shared" si="39"/>
        <v>0</v>
      </c>
      <c r="BY45" s="14">
        <f t="shared" si="40"/>
        <v>0.2999999999999998</v>
      </c>
      <c r="BZ45" s="14">
        <f t="shared" si="10"/>
        <v>1</v>
      </c>
      <c r="CB45" s="14">
        <f t="shared" si="11"/>
        <v>0.5</v>
      </c>
      <c r="CC45" s="14">
        <f t="shared" si="41"/>
        <v>0</v>
      </c>
      <c r="CD45" s="14">
        <f t="shared" si="42"/>
        <v>0.5</v>
      </c>
      <c r="CE45" s="14">
        <f t="shared" si="12"/>
        <v>1</v>
      </c>
    </row>
  </sheetData>
  <sheetProtection password="C61B" sheet="1"/>
  <mergeCells count="25">
    <mergeCell ref="F8:L8"/>
    <mergeCell ref="M8:O8"/>
    <mergeCell ref="P8:V8"/>
    <mergeCell ref="W8:AC8"/>
    <mergeCell ref="AD8:AJ8"/>
    <mergeCell ref="AK8:AP8"/>
    <mergeCell ref="BW9:BZ9"/>
    <mergeCell ref="CB9:CE9"/>
    <mergeCell ref="BJ8:BK8"/>
    <mergeCell ref="AQ8:AS8"/>
    <mergeCell ref="AT8:AX8"/>
    <mergeCell ref="AY8:BC8"/>
    <mergeCell ref="BD8:BD9"/>
    <mergeCell ref="BE8:BE9"/>
    <mergeCell ref="BF8:BF9"/>
    <mergeCell ref="A3:BH3"/>
    <mergeCell ref="A5:BH5"/>
    <mergeCell ref="BG8:BG9"/>
    <mergeCell ref="BH8:BH9"/>
    <mergeCell ref="BM9:BP9"/>
    <mergeCell ref="BR9:BU9"/>
    <mergeCell ref="A7:A9"/>
    <mergeCell ref="B7:B9"/>
    <mergeCell ref="C7:BH7"/>
    <mergeCell ref="C8:E8"/>
  </mergeCells>
  <printOptions/>
  <pageMargins left="0.35433070866141736" right="0.15748031496062992" top="0.3937007874015748" bottom="0.1968503937007874" header="0" footer="0"/>
  <pageSetup fitToWidth="4" fitToHeight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2:R44"/>
  <sheetViews>
    <sheetView zoomScalePageLayoutView="0" workbookViewId="0" topLeftCell="C1">
      <selection activeCell="L1" sqref="L1"/>
    </sheetView>
  </sheetViews>
  <sheetFormatPr defaultColWidth="9.140625" defaultRowHeight="15"/>
  <cols>
    <col min="1" max="1" width="4.8515625" style="33" customWidth="1"/>
    <col min="2" max="2" width="38.57421875" style="33" customWidth="1"/>
    <col min="3" max="3" width="19.28125" style="33" customWidth="1"/>
    <col min="4" max="4" width="16.00390625" style="33" customWidth="1"/>
    <col min="5" max="5" width="7.8515625" style="33" customWidth="1"/>
    <col min="6" max="6" width="16.00390625" style="33" customWidth="1"/>
    <col min="7" max="7" width="7.8515625" style="33" customWidth="1"/>
    <col min="8" max="8" width="16.00390625" style="33" customWidth="1"/>
    <col min="9" max="9" width="7.8515625" style="33" customWidth="1"/>
    <col min="10" max="10" width="16.00390625" style="33" customWidth="1"/>
    <col min="11" max="11" width="10.8515625" style="33" customWidth="1"/>
    <col min="12" max="12" width="16.00390625" style="33" customWidth="1"/>
    <col min="13" max="13" width="9.8515625" style="33" customWidth="1"/>
    <col min="14" max="14" width="16.00390625" style="33" customWidth="1"/>
    <col min="15" max="15" width="9.8515625" style="33" customWidth="1"/>
    <col min="16" max="16" width="13.57421875" style="33" customWidth="1"/>
    <col min="17" max="17" width="10.00390625" style="33" hidden="1" customWidth="1"/>
    <col min="18" max="18" width="5.00390625" style="33" customWidth="1"/>
    <col min="19" max="16384" width="9.140625" style="33" customWidth="1"/>
  </cols>
  <sheetData>
    <row r="1" ht="29.25" customHeight="1"/>
    <row r="2" spans="1:17" ht="16.5" customHeight="1">
      <c r="A2" s="116" t="s">
        <v>155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6.5" customHeight="1">
      <c r="A3" s="116" t="s">
        <v>69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8" ht="36.75" customHeight="1">
      <c r="A4" s="99" t="s">
        <v>0</v>
      </c>
      <c r="B4" s="103" t="s">
        <v>67</v>
      </c>
      <c r="C4" s="103" t="s">
        <v>68</v>
      </c>
      <c r="D4" s="99" t="s">
        <v>70</v>
      </c>
      <c r="E4" s="99"/>
      <c r="F4" s="99" t="s">
        <v>71</v>
      </c>
      <c r="G4" s="99"/>
      <c r="H4" s="99" t="s">
        <v>72</v>
      </c>
      <c r="I4" s="99"/>
      <c r="J4" s="99" t="s">
        <v>73</v>
      </c>
      <c r="K4" s="99"/>
      <c r="L4" s="99" t="s">
        <v>74</v>
      </c>
      <c r="M4" s="99"/>
      <c r="N4" s="99" t="s">
        <v>75</v>
      </c>
      <c r="O4" s="99"/>
      <c r="P4" s="117" t="s">
        <v>156</v>
      </c>
      <c r="Q4" s="118"/>
      <c r="R4" s="99" t="s">
        <v>0</v>
      </c>
    </row>
    <row r="5" spans="1:18" ht="18" customHeight="1">
      <c r="A5" s="99"/>
      <c r="B5" s="103"/>
      <c r="C5" s="103"/>
      <c r="D5" s="34" t="s">
        <v>1</v>
      </c>
      <c r="E5" s="34" t="s">
        <v>3</v>
      </c>
      <c r="F5" s="34" t="s">
        <v>1</v>
      </c>
      <c r="G5" s="34" t="s">
        <v>3</v>
      </c>
      <c r="H5" s="34" t="s">
        <v>1</v>
      </c>
      <c r="I5" s="36" t="s">
        <v>3</v>
      </c>
      <c r="J5" s="34" t="s">
        <v>1</v>
      </c>
      <c r="K5" s="34" t="s">
        <v>3</v>
      </c>
      <c r="L5" s="34" t="s">
        <v>1</v>
      </c>
      <c r="M5" s="34" t="s">
        <v>3</v>
      </c>
      <c r="N5" s="34" t="s">
        <v>1</v>
      </c>
      <c r="O5" s="34" t="s">
        <v>3</v>
      </c>
      <c r="P5" s="119"/>
      <c r="Q5" s="120"/>
      <c r="R5" s="99"/>
    </row>
    <row r="6" spans="1:18" ht="15" customHeight="1">
      <c r="A6" s="34">
        <v>1</v>
      </c>
      <c r="B6" s="37" t="str">
        <f>IF(A6="","",VLOOKUP(A6,Жеребьевка!$A$6:$C$45,2,0))</f>
        <v>Шибин Евгений Владимирович</v>
      </c>
      <c r="C6" s="38" t="str">
        <f>IF(A6="","",VLOOKUP(A6,Жеребьевка!$A$6:$C$45,3,0))</f>
        <v>Саратов</v>
      </c>
      <c r="D6" s="14">
        <f>'Модуль А-ПДД'!G9</f>
        <v>9</v>
      </c>
      <c r="E6" s="36">
        <f>RANK(D6,$D$6:$D$36,0)</f>
        <v>28</v>
      </c>
      <c r="F6" s="14">
        <f>'Модуль B-ЗУ ТРМ'!P10</f>
        <v>0.6</v>
      </c>
      <c r="G6" s="25">
        <f>RANK(F6,$F$6:$F$41,0)</f>
        <v>34</v>
      </c>
      <c r="H6" s="14">
        <f>'Модуль С-Приемка ПС'!G9</f>
        <v>14.200000000000001</v>
      </c>
      <c r="I6" s="25">
        <f>RANK(H6,$H$6:$H$41,0)</f>
        <v>25</v>
      </c>
      <c r="J6" s="14">
        <f>'Модуль D-КОП'!R10</f>
        <v>4.25</v>
      </c>
      <c r="K6" s="25">
        <f>RANK(J6,$J$6:$J$41,0)</f>
        <v>27</v>
      </c>
      <c r="L6" s="14">
        <f>'Модуль Е-Вождение'!BH10</f>
        <v>59.690000000000005</v>
      </c>
      <c r="M6" s="36">
        <f>RANK(L6,$L$6:$L$41,0)</f>
        <v>13</v>
      </c>
      <c r="N6" s="14">
        <f>'Модуль G-Комф вождение'!BH10</f>
        <v>47.61</v>
      </c>
      <c r="O6" s="25">
        <f>RANK(N6,$N$6:$N$41,0)</f>
        <v>26</v>
      </c>
      <c r="P6" s="39">
        <f>D6+F6+H6+J6+L6+N6</f>
        <v>135.35000000000002</v>
      </c>
      <c r="Q6" s="35">
        <f>RANK(P6,$P$6:$P$41,0)</f>
        <v>18</v>
      </c>
      <c r="R6" s="14">
        <f>A6</f>
        <v>1</v>
      </c>
    </row>
    <row r="7" spans="1:18" ht="15" customHeight="1">
      <c r="A7" s="34">
        <v>2</v>
      </c>
      <c r="B7" s="37" t="str">
        <f>IF(A7="","",VLOOKUP(A7,Жеребьевка!$A$6:$C$45,2,0))</f>
        <v>Мельницын Сергей Владимирович</v>
      </c>
      <c r="C7" s="38" t="str">
        <f>IF(A7="","",VLOOKUP(A7,Жеребьевка!$A$6:$C$45,3,0))</f>
        <v>Екатеринбург</v>
      </c>
      <c r="D7" s="14">
        <f>'Модуль А-ПДД'!G10</f>
        <v>10</v>
      </c>
      <c r="E7" s="36">
        <f aca="true" t="shared" si="0" ref="E7:E41">RANK(D7,$D$6:$D$41,0)</f>
        <v>6</v>
      </c>
      <c r="F7" s="14">
        <f>'Модуль B-ЗУ ТРМ'!P11</f>
        <v>0</v>
      </c>
      <c r="G7" s="25">
        <f aca="true" t="shared" si="1" ref="G7:G41">RANK(F7,$F$6:$F$41,0)</f>
        <v>36</v>
      </c>
      <c r="H7" s="14">
        <f>'Модуль С-Приемка ПС'!G10</f>
        <v>22.200000000000003</v>
      </c>
      <c r="I7" s="25">
        <f aca="true" t="shared" si="2" ref="I7:I41">RANK(H7,$H$6:$H$41,0)</f>
        <v>5</v>
      </c>
      <c r="J7" s="14">
        <f>'Модуль D-КОП'!R11</f>
        <v>5</v>
      </c>
      <c r="K7" s="25">
        <f aca="true" t="shared" si="3" ref="K7:K41">RANK(J7,$J$6:$J$41,0)</f>
        <v>18</v>
      </c>
      <c r="L7" s="14">
        <f>'Модуль Е-Вождение'!BH11</f>
        <v>40.69</v>
      </c>
      <c r="M7" s="36">
        <f aca="true" t="shared" si="4" ref="M7:M41">RANK(L7,$L$6:$L$41,0)</f>
        <v>31</v>
      </c>
      <c r="N7" s="14">
        <f>'Модуль G-Комф вождение'!BH11</f>
        <v>55.59</v>
      </c>
      <c r="O7" s="25">
        <f aca="true" t="shared" si="5" ref="O7:O41">RANK(N7,$N$6:$N$41,0)</f>
        <v>14</v>
      </c>
      <c r="P7" s="39">
        <f aca="true" t="shared" si="6" ref="P7:P41">D7+F7+H7+J7+L7+N7</f>
        <v>133.48000000000002</v>
      </c>
      <c r="Q7" s="35">
        <f aca="true" t="shared" si="7" ref="Q7:Q41">RANK(P7,$P$6:$P$41,0)</f>
        <v>19</v>
      </c>
      <c r="R7" s="34">
        <f>A7</f>
        <v>2</v>
      </c>
    </row>
    <row r="8" spans="1:18" ht="15" customHeight="1">
      <c r="A8" s="34">
        <v>3</v>
      </c>
      <c r="B8" s="37" t="str">
        <f>IF(A8="","",VLOOKUP(A8,Жеребьевка!$A$6:$C$45,2,0))</f>
        <v>Гайнуллин Рустам Фаритович</v>
      </c>
      <c r="C8" s="38" t="str">
        <f>IF(A8="","",VLOOKUP(A8,Жеребьевка!$A$6:$C$45,3,0))</f>
        <v>Челябинск</v>
      </c>
      <c r="D8" s="14">
        <f>'Модуль А-ПДД'!G11</f>
        <v>10.8</v>
      </c>
      <c r="E8" s="36">
        <f t="shared" si="0"/>
        <v>4</v>
      </c>
      <c r="F8" s="14">
        <f>'Модуль B-ЗУ ТРМ'!P12</f>
        <v>1.2</v>
      </c>
      <c r="G8" s="25">
        <f t="shared" si="1"/>
        <v>32</v>
      </c>
      <c r="H8" s="14">
        <f>'Модуль С-Приемка ПС'!G11</f>
        <v>18.6</v>
      </c>
      <c r="I8" s="25">
        <f t="shared" si="2"/>
        <v>17</v>
      </c>
      <c r="J8" s="14">
        <f>'Модуль D-КОП'!R12</f>
        <v>3.8499999999999996</v>
      </c>
      <c r="K8" s="25">
        <f t="shared" si="3"/>
        <v>28</v>
      </c>
      <c r="L8" s="14">
        <f>'Модуль Е-Вождение'!BH12</f>
        <v>63.57</v>
      </c>
      <c r="M8" s="36">
        <f t="shared" si="4"/>
        <v>9</v>
      </c>
      <c r="N8" s="14">
        <f>'Модуль G-Комф вождение'!BH12</f>
        <v>45.739999999999995</v>
      </c>
      <c r="O8" s="25">
        <f t="shared" si="5"/>
        <v>28</v>
      </c>
      <c r="P8" s="39">
        <f t="shared" si="6"/>
        <v>143.76</v>
      </c>
      <c r="Q8" s="35">
        <f t="shared" si="7"/>
        <v>16</v>
      </c>
      <c r="R8" s="34">
        <f>A8</f>
        <v>3</v>
      </c>
    </row>
    <row r="9" spans="1:18" ht="15" customHeight="1">
      <c r="A9" s="34">
        <v>4</v>
      </c>
      <c r="B9" s="37" t="str">
        <f>IF(A9="","",VLOOKUP(A9,Жеребьевка!$A$6:$C$45,2,0))</f>
        <v>Мартынов Владимир Михайлович</v>
      </c>
      <c r="C9" s="38" t="str">
        <f>IF(A9="","",VLOOKUP(A9,Жеребьевка!$A$6:$C$45,3,0))</f>
        <v>Орёл</v>
      </c>
      <c r="D9" s="14">
        <f>'Модуль А-ПДД'!G12</f>
        <v>9.5</v>
      </c>
      <c r="E9" s="36">
        <f t="shared" si="0"/>
        <v>23</v>
      </c>
      <c r="F9" s="14">
        <f>'Модуль B-ЗУ ТРМ'!P13</f>
        <v>1.4</v>
      </c>
      <c r="G9" s="25">
        <f t="shared" si="1"/>
        <v>30</v>
      </c>
      <c r="H9" s="14">
        <f>'Модуль С-Приемка ПС'!G12</f>
        <v>0</v>
      </c>
      <c r="I9" s="25">
        <f t="shared" si="2"/>
        <v>26</v>
      </c>
      <c r="J9" s="14">
        <f>'Модуль D-КОП'!R13</f>
        <v>5.05</v>
      </c>
      <c r="K9" s="25">
        <f t="shared" si="3"/>
        <v>17</v>
      </c>
      <c r="L9" s="14">
        <f>'Модуль Е-Вождение'!BH13</f>
        <v>52.38</v>
      </c>
      <c r="M9" s="36">
        <f t="shared" si="4"/>
        <v>22</v>
      </c>
      <c r="N9" s="14">
        <f>'Модуль G-Комф вождение'!BH13</f>
        <v>0</v>
      </c>
      <c r="O9" s="25">
        <f t="shared" si="5"/>
        <v>31</v>
      </c>
      <c r="P9" s="39">
        <f t="shared" si="6"/>
        <v>68.33</v>
      </c>
      <c r="Q9" s="35">
        <f t="shared" si="7"/>
        <v>33</v>
      </c>
      <c r="R9" s="34">
        <f>A9</f>
        <v>4</v>
      </c>
    </row>
    <row r="10" spans="1:18" ht="15" customHeight="1">
      <c r="A10" s="34">
        <v>5</v>
      </c>
      <c r="B10" s="37" t="str">
        <f>IF(A10="","",VLOOKUP(A10,Жеребьевка!$A$6:$C$45,2,0))</f>
        <v>Богатырева Оксана Юрьевна</v>
      </c>
      <c r="C10" s="38" t="str">
        <f>IF(A10="","",VLOOKUP(A10,Жеребьевка!$A$6:$C$45,3,0))</f>
        <v>Липецк</v>
      </c>
      <c r="D10" s="14">
        <f>'Модуль А-ПДД'!G13</f>
        <v>10</v>
      </c>
      <c r="E10" s="36">
        <f t="shared" si="0"/>
        <v>6</v>
      </c>
      <c r="F10" s="14">
        <f>'Модуль B-ЗУ ТРМ'!P14</f>
        <v>10.8</v>
      </c>
      <c r="G10" s="25">
        <f t="shared" si="1"/>
        <v>4</v>
      </c>
      <c r="H10" s="14">
        <f>'Модуль С-Приемка ПС'!G13</f>
        <v>21</v>
      </c>
      <c r="I10" s="25">
        <f t="shared" si="2"/>
        <v>12</v>
      </c>
      <c r="J10" s="14">
        <f>'Модуль D-КОП'!R14</f>
        <v>7.6</v>
      </c>
      <c r="K10" s="25">
        <f t="shared" si="3"/>
        <v>5</v>
      </c>
      <c r="L10" s="14">
        <f>'Модуль Е-Вождение'!BH14</f>
        <v>65.7</v>
      </c>
      <c r="M10" s="36">
        <f t="shared" si="4"/>
        <v>7</v>
      </c>
      <c r="N10" s="14">
        <f>'Модуль G-Комф вождение'!BH14</f>
        <v>50.76</v>
      </c>
      <c r="O10" s="25">
        <f t="shared" si="5"/>
        <v>20</v>
      </c>
      <c r="P10" s="39">
        <f t="shared" si="6"/>
        <v>165.85999999999999</v>
      </c>
      <c r="Q10" s="35">
        <f t="shared" si="7"/>
        <v>7</v>
      </c>
      <c r="R10" s="34">
        <f>A10</f>
        <v>5</v>
      </c>
    </row>
    <row r="11" spans="1:18" ht="15" customHeight="1">
      <c r="A11" s="34">
        <v>6</v>
      </c>
      <c r="B11" s="37" t="str">
        <f>IF(A11="","",VLOOKUP(A11,Жеребьевка!$A$6:$C$45,2,0))</f>
        <v>Кирова Татьяна Михайловна</v>
      </c>
      <c r="C11" s="38" t="str">
        <f>IF(A11="","",VLOOKUP(A11,Жеребьевка!$A$6:$C$45,3,0))</f>
        <v>Пермь</v>
      </c>
      <c r="D11" s="14">
        <f>'Модуль А-ПДД'!G14</f>
        <v>9.5</v>
      </c>
      <c r="E11" s="36">
        <f t="shared" si="0"/>
        <v>23</v>
      </c>
      <c r="F11" s="14">
        <f>'Модуль B-ЗУ ТРМ'!P15</f>
        <v>4.8</v>
      </c>
      <c r="G11" s="25">
        <f t="shared" si="1"/>
        <v>17</v>
      </c>
      <c r="H11" s="14">
        <f>'Модуль С-Приемка ПС'!G14</f>
        <v>14.8</v>
      </c>
      <c r="I11" s="25">
        <f t="shared" si="2"/>
        <v>23</v>
      </c>
      <c r="J11" s="14">
        <f>'Модуль D-КОП'!R15</f>
        <v>4.5</v>
      </c>
      <c r="K11" s="25">
        <f t="shared" si="3"/>
        <v>25</v>
      </c>
      <c r="L11" s="14">
        <f>'Модуль Е-Вождение'!BH15</f>
        <v>63.58</v>
      </c>
      <c r="M11" s="36">
        <f t="shared" si="4"/>
        <v>8</v>
      </c>
      <c r="N11" s="14">
        <f>'Модуль G-Комф вождение'!BH15</f>
        <v>57.69</v>
      </c>
      <c r="O11" s="25">
        <f t="shared" si="5"/>
        <v>9</v>
      </c>
      <c r="P11" s="39">
        <f t="shared" si="6"/>
        <v>154.87</v>
      </c>
      <c r="Q11" s="35">
        <f t="shared" si="7"/>
        <v>12</v>
      </c>
      <c r="R11" s="34">
        <f aca="true" t="shared" si="8" ref="R11:R41">A11</f>
        <v>6</v>
      </c>
    </row>
    <row r="12" spans="1:18" ht="15" customHeight="1">
      <c r="A12" s="34">
        <v>7</v>
      </c>
      <c r="B12" s="37" t="str">
        <f>IF(A12="","",VLOOKUP(A12,Жеребьевка!$A$6:$C$45,2,0))</f>
        <v>Чугунова Ольга Викторовна</v>
      </c>
      <c r="C12" s="38" t="str">
        <f>IF(A12="","",VLOOKUP(A12,Жеребьевка!$A$6:$C$45,3,0))</f>
        <v>Краснодар</v>
      </c>
      <c r="D12" s="14">
        <f>'Модуль А-ПДД'!G15</f>
        <v>10</v>
      </c>
      <c r="E12" s="36">
        <f t="shared" si="0"/>
        <v>6</v>
      </c>
      <c r="F12" s="14">
        <f>'Модуль B-ЗУ ТРМ'!P16</f>
        <v>4</v>
      </c>
      <c r="G12" s="25">
        <f t="shared" si="1"/>
        <v>19</v>
      </c>
      <c r="H12" s="14">
        <f>'Модуль С-Приемка ПС'!G15</f>
        <v>18.400000000000002</v>
      </c>
      <c r="I12" s="25">
        <f t="shared" si="2"/>
        <v>18</v>
      </c>
      <c r="J12" s="14">
        <f>'Модуль D-КОП'!R16</f>
        <v>0</v>
      </c>
      <c r="K12" s="25">
        <f t="shared" si="3"/>
        <v>32</v>
      </c>
      <c r="L12" s="14">
        <f>'Модуль Е-Вождение'!BH16</f>
        <v>38.85</v>
      </c>
      <c r="M12" s="36">
        <f t="shared" si="4"/>
        <v>32</v>
      </c>
      <c r="N12" s="14">
        <f>'Модуль G-Комф вождение'!BH16</f>
        <v>54.21</v>
      </c>
      <c r="O12" s="25">
        <f t="shared" si="5"/>
        <v>15</v>
      </c>
      <c r="P12" s="39">
        <f t="shared" si="6"/>
        <v>125.46000000000001</v>
      </c>
      <c r="Q12" s="35">
        <f t="shared" si="7"/>
        <v>24</v>
      </c>
      <c r="R12" s="34">
        <f t="shared" si="8"/>
        <v>7</v>
      </c>
    </row>
    <row r="13" spans="1:18" ht="15" customHeight="1">
      <c r="A13" s="34">
        <v>8</v>
      </c>
      <c r="B13" s="37" t="str">
        <f>IF(A13="","",VLOOKUP(A13,Жеребьевка!$A$6:$C$45,2,0))</f>
        <v>Фомин Владимир Александрович</v>
      </c>
      <c r="C13" s="38" t="str">
        <f>IF(A13="","",VLOOKUP(A13,Жеребьевка!$A$6:$C$45,3,0))</f>
        <v>Нижний Новгород</v>
      </c>
      <c r="D13" s="14">
        <f>'Модуль А-ПДД'!G16</f>
        <v>10</v>
      </c>
      <c r="E13" s="36">
        <f t="shared" si="0"/>
        <v>6</v>
      </c>
      <c r="F13" s="14">
        <f>'Модуль B-ЗУ ТРМ'!P17</f>
        <v>3.2</v>
      </c>
      <c r="G13" s="25">
        <f t="shared" si="1"/>
        <v>24</v>
      </c>
      <c r="H13" s="14">
        <f>'Модуль С-Приемка ПС'!G16</f>
        <v>18.8</v>
      </c>
      <c r="I13" s="25">
        <f t="shared" si="2"/>
        <v>16</v>
      </c>
      <c r="J13" s="14">
        <f>'Модуль D-КОП'!R17</f>
        <v>6.449999999999999</v>
      </c>
      <c r="K13" s="25">
        <f t="shared" si="3"/>
        <v>11</v>
      </c>
      <c r="L13" s="14">
        <f>'Модуль Е-Вождение'!BH17</f>
        <v>54.87</v>
      </c>
      <c r="M13" s="36">
        <f t="shared" si="4"/>
        <v>17</v>
      </c>
      <c r="N13" s="14">
        <f>'Модуль G-Комф вождение'!BH17</f>
        <v>0</v>
      </c>
      <c r="O13" s="25">
        <f t="shared" si="5"/>
        <v>31</v>
      </c>
      <c r="P13" s="39">
        <f t="shared" si="6"/>
        <v>93.32</v>
      </c>
      <c r="Q13" s="35">
        <f t="shared" si="7"/>
        <v>28</v>
      </c>
      <c r="R13" s="34">
        <f t="shared" si="8"/>
        <v>8</v>
      </c>
    </row>
    <row r="14" spans="1:18" ht="15" customHeight="1">
      <c r="A14" s="34">
        <v>9</v>
      </c>
      <c r="B14" s="37" t="str">
        <f>IF(A14="","",VLOOKUP(A14,Жеребьевка!$A$6:$C$45,2,0))</f>
        <v>Шустров Олег Николаевич</v>
      </c>
      <c r="C14" s="38" t="str">
        <f>IF(A14="","",VLOOKUP(A14,Жеребьевка!$A$6:$C$45,3,0))</f>
        <v>Набережные Челны</v>
      </c>
      <c r="D14" s="14">
        <f>'Модуль А-ПДД'!G17</f>
        <v>10</v>
      </c>
      <c r="E14" s="36">
        <f t="shared" si="0"/>
        <v>6</v>
      </c>
      <c r="F14" s="14">
        <f>'Модуль B-ЗУ ТРМ'!P18</f>
        <v>8.8</v>
      </c>
      <c r="G14" s="25">
        <f t="shared" si="1"/>
        <v>10</v>
      </c>
      <c r="H14" s="14">
        <f>'Модуль С-Приемка ПС'!G17</f>
        <v>0</v>
      </c>
      <c r="I14" s="25">
        <f t="shared" si="2"/>
        <v>26</v>
      </c>
      <c r="J14" s="14">
        <f>'Модуль D-КОП'!R18</f>
        <v>7.8999999999999995</v>
      </c>
      <c r="K14" s="25">
        <f t="shared" si="3"/>
        <v>4</v>
      </c>
      <c r="L14" s="14">
        <f>'Модуль Е-Вождение'!BH18</f>
        <v>60.64</v>
      </c>
      <c r="M14" s="36">
        <f t="shared" si="4"/>
        <v>12</v>
      </c>
      <c r="N14" s="14">
        <f>'Модуль G-Комф вождение'!BH18</f>
        <v>57.65</v>
      </c>
      <c r="O14" s="25">
        <f t="shared" si="5"/>
        <v>10</v>
      </c>
      <c r="P14" s="39">
        <f t="shared" si="6"/>
        <v>144.99</v>
      </c>
      <c r="Q14" s="35">
        <f t="shared" si="7"/>
        <v>14</v>
      </c>
      <c r="R14" s="34">
        <f t="shared" si="8"/>
        <v>9</v>
      </c>
    </row>
    <row r="15" spans="1:18" ht="15" customHeight="1">
      <c r="A15" s="34">
        <v>10</v>
      </c>
      <c r="B15" s="37" t="str">
        <f>IF(A15="","",VLOOKUP(A15,Жеребьевка!$A$6:$C$45,2,0))</f>
        <v>Логинова Оксана Сергеевна</v>
      </c>
      <c r="C15" s="38" t="str">
        <f>IF(A15="","",VLOOKUP(A15,Жеребьевка!$A$6:$C$45,3,0))</f>
        <v>Волжский</v>
      </c>
      <c r="D15" s="14">
        <f>'Модуль А-ПДД'!G18</f>
        <v>9.5</v>
      </c>
      <c r="E15" s="36">
        <f t="shared" si="0"/>
        <v>23</v>
      </c>
      <c r="F15" s="14">
        <f>'Модуль B-ЗУ ТРМ'!P19</f>
        <v>8.2</v>
      </c>
      <c r="G15" s="25">
        <f t="shared" si="1"/>
        <v>11</v>
      </c>
      <c r="H15" s="14">
        <f>'Модуль С-Приемка ПС'!G18</f>
        <v>22.200000000000003</v>
      </c>
      <c r="I15" s="25">
        <f t="shared" si="2"/>
        <v>5</v>
      </c>
      <c r="J15" s="14">
        <f>'Модуль D-КОП'!R19</f>
        <v>4.8</v>
      </c>
      <c r="K15" s="25">
        <f t="shared" si="3"/>
        <v>21</v>
      </c>
      <c r="L15" s="14">
        <f>'Модуль Е-Вождение'!BH19</f>
        <v>67.53</v>
      </c>
      <c r="M15" s="36">
        <f t="shared" si="4"/>
        <v>5</v>
      </c>
      <c r="N15" s="14">
        <f>'Модуль G-Комф вождение'!BH19</f>
        <v>49.74</v>
      </c>
      <c r="O15" s="25">
        <f t="shared" si="5"/>
        <v>24</v>
      </c>
      <c r="P15" s="39">
        <f t="shared" si="6"/>
        <v>161.97</v>
      </c>
      <c r="Q15" s="35">
        <f t="shared" si="7"/>
        <v>8</v>
      </c>
      <c r="R15" s="34">
        <f t="shared" si="8"/>
        <v>10</v>
      </c>
    </row>
    <row r="16" spans="1:18" ht="15" customHeight="1">
      <c r="A16" s="34">
        <v>11</v>
      </c>
      <c r="B16" s="37" t="str">
        <f>IF(A16="","",VLOOKUP(A16,Жеребьевка!$A$6:$C$45,2,0))</f>
        <v>Шахворостова Олеся Владимировна</v>
      </c>
      <c r="C16" s="38" t="str">
        <f>IF(A16="","",VLOOKUP(A16,Жеребьевка!$A$6:$C$45,3,0))</f>
        <v>Барнаул</v>
      </c>
      <c r="D16" s="14">
        <f>'Модуль А-ПДД'!G19</f>
        <v>10</v>
      </c>
      <c r="E16" s="36">
        <f t="shared" si="0"/>
        <v>6</v>
      </c>
      <c r="F16" s="14">
        <f>'Модуль B-ЗУ ТРМ'!P20</f>
        <v>10</v>
      </c>
      <c r="G16" s="25">
        <f t="shared" si="1"/>
        <v>6</v>
      </c>
      <c r="H16" s="14">
        <f>'Модуль С-Приемка ПС'!G19</f>
        <v>24.3</v>
      </c>
      <c r="I16" s="25">
        <f t="shared" si="2"/>
        <v>2</v>
      </c>
      <c r="J16" s="14">
        <f>'Модуль D-КОП'!R20</f>
        <v>6.6</v>
      </c>
      <c r="K16" s="25">
        <f t="shared" si="3"/>
        <v>10</v>
      </c>
      <c r="L16" s="14">
        <f>'Модуль Е-Вождение'!BH20</f>
        <v>54.69</v>
      </c>
      <c r="M16" s="36">
        <f t="shared" si="4"/>
        <v>19</v>
      </c>
      <c r="N16" s="14">
        <f>'Модуль G-Комф вождение'!BH20</f>
        <v>61.61</v>
      </c>
      <c r="O16" s="25">
        <f t="shared" si="5"/>
        <v>7</v>
      </c>
      <c r="P16" s="39">
        <f t="shared" si="6"/>
        <v>167.2</v>
      </c>
      <c r="Q16" s="35">
        <f t="shared" si="7"/>
        <v>6</v>
      </c>
      <c r="R16" s="34">
        <f t="shared" si="8"/>
        <v>11</v>
      </c>
    </row>
    <row r="17" spans="1:18" ht="15" customHeight="1">
      <c r="A17" s="34">
        <v>12</v>
      </c>
      <c r="B17" s="37" t="str">
        <f>IF(A17="","",VLOOKUP(A17,Жеребьевка!$A$6:$C$45,2,0))</f>
        <v>Бондаренко Станислав Геннадьевич</v>
      </c>
      <c r="C17" s="38" t="str">
        <f>IF(A17="","",VLOOKUP(A17,Жеребьевка!$A$6:$C$45,3,0))</f>
        <v>Новосибирск</v>
      </c>
      <c r="D17" s="14">
        <f>'Модуль А-ПДД'!G20</f>
        <v>9.5</v>
      </c>
      <c r="E17" s="36">
        <f t="shared" si="0"/>
        <v>23</v>
      </c>
      <c r="F17" s="14">
        <f>'Модуль B-ЗУ ТРМ'!P21</f>
        <v>7.6</v>
      </c>
      <c r="G17" s="25">
        <f t="shared" si="1"/>
        <v>12</v>
      </c>
      <c r="H17" s="14">
        <f>'Модуль С-Приемка ПС'!G20</f>
        <v>0</v>
      </c>
      <c r="I17" s="25">
        <f t="shared" si="2"/>
        <v>26</v>
      </c>
      <c r="J17" s="14">
        <f>'Модуль D-КОП'!R21</f>
        <v>0</v>
      </c>
      <c r="K17" s="25">
        <f t="shared" si="3"/>
        <v>32</v>
      </c>
      <c r="L17" s="14">
        <f>'Модуль Е-Вождение'!BH21</f>
        <v>44.84</v>
      </c>
      <c r="M17" s="36">
        <f t="shared" si="4"/>
        <v>28</v>
      </c>
      <c r="N17" s="14">
        <f>'Модуль G-Комф вождение'!BH21</f>
        <v>0</v>
      </c>
      <c r="O17" s="25">
        <f t="shared" si="5"/>
        <v>31</v>
      </c>
      <c r="P17" s="39">
        <f t="shared" si="6"/>
        <v>61.940000000000005</v>
      </c>
      <c r="Q17" s="35">
        <f t="shared" si="7"/>
        <v>35</v>
      </c>
      <c r="R17" s="34">
        <f t="shared" si="8"/>
        <v>12</v>
      </c>
    </row>
    <row r="18" spans="1:18" ht="15" customHeight="1">
      <c r="A18" s="34">
        <v>13</v>
      </c>
      <c r="B18" s="37" t="str">
        <f>IF(A18="","",VLOOKUP(A18,Жеребьевка!$A$6:$C$45,2,0))</f>
        <v>Панкин Алексей Владимирович</v>
      </c>
      <c r="C18" s="38" t="str">
        <f>IF(A18="","",VLOOKUP(A18,Жеребьевка!$A$6:$C$45,3,0))</f>
        <v>Уфа</v>
      </c>
      <c r="D18" s="14">
        <f>'Модуль А-ПДД'!G21</f>
        <v>11.5</v>
      </c>
      <c r="E18" s="36">
        <f t="shared" si="0"/>
        <v>2</v>
      </c>
      <c r="F18" s="14">
        <f>'Модуль B-ЗУ ТРМ'!P22</f>
        <v>3.1999999999999997</v>
      </c>
      <c r="G18" s="25">
        <f t="shared" si="1"/>
        <v>26</v>
      </c>
      <c r="H18" s="14">
        <f>'Модуль С-Приемка ПС'!G21</f>
        <v>17</v>
      </c>
      <c r="I18" s="25">
        <f t="shared" si="2"/>
        <v>21</v>
      </c>
      <c r="J18" s="14">
        <f>'Модуль D-КОП'!R22</f>
        <v>4.7</v>
      </c>
      <c r="K18" s="25">
        <f t="shared" si="3"/>
        <v>23</v>
      </c>
      <c r="L18" s="14">
        <f>'Модуль Е-Вождение'!BH22</f>
        <v>41.88</v>
      </c>
      <c r="M18" s="36">
        <f t="shared" si="4"/>
        <v>30</v>
      </c>
      <c r="N18" s="14">
        <f>'Модуль G-Комф вождение'!BH22</f>
        <v>50.730000000000004</v>
      </c>
      <c r="O18" s="25">
        <f t="shared" si="5"/>
        <v>21</v>
      </c>
      <c r="P18" s="39">
        <f t="shared" si="6"/>
        <v>129.01</v>
      </c>
      <c r="Q18" s="35">
        <f t="shared" si="7"/>
        <v>22</v>
      </c>
      <c r="R18" s="34">
        <f t="shared" si="8"/>
        <v>13</v>
      </c>
    </row>
    <row r="19" spans="1:18" ht="15" customHeight="1">
      <c r="A19" s="34">
        <v>14</v>
      </c>
      <c r="B19" s="37" t="str">
        <f>IF(A19="","",VLOOKUP(A19,Жеребьевка!$A$6:$C$45,2,0))</f>
        <v>Скударнов Игорь Сергеевич</v>
      </c>
      <c r="C19" s="38" t="str">
        <f>IF(A19="","",VLOOKUP(A19,Жеребьевка!$A$6:$C$45,3,0))</f>
        <v>Санкт-Петербург</v>
      </c>
      <c r="D19" s="14">
        <f>'Модуль А-ПДД'!G22</f>
        <v>10</v>
      </c>
      <c r="E19" s="36">
        <f t="shared" si="0"/>
        <v>6</v>
      </c>
      <c r="F19" s="14">
        <f>'Модуль B-ЗУ ТРМ'!P23</f>
        <v>12</v>
      </c>
      <c r="G19" s="25">
        <f t="shared" si="1"/>
        <v>1</v>
      </c>
      <c r="H19" s="14">
        <f>'Модуль С-Приемка ПС'!G22</f>
        <v>22.200000000000003</v>
      </c>
      <c r="I19" s="25">
        <f t="shared" si="2"/>
        <v>5</v>
      </c>
      <c r="J19" s="14">
        <f>'Модуль D-КОП'!R23</f>
        <v>7.5</v>
      </c>
      <c r="K19" s="25">
        <f t="shared" si="3"/>
        <v>6</v>
      </c>
      <c r="L19" s="14">
        <f>'Модуль Е-Вождение'!BH23</f>
        <v>67.48</v>
      </c>
      <c r="M19" s="36">
        <f t="shared" si="4"/>
        <v>6</v>
      </c>
      <c r="N19" s="14">
        <f>'Модуль G-Комф вождение'!BH23</f>
        <v>61.62</v>
      </c>
      <c r="O19" s="25">
        <f t="shared" si="5"/>
        <v>6</v>
      </c>
      <c r="P19" s="39">
        <f t="shared" si="6"/>
        <v>180.8</v>
      </c>
      <c r="Q19" s="35">
        <f t="shared" si="7"/>
        <v>4</v>
      </c>
      <c r="R19" s="34">
        <f t="shared" si="8"/>
        <v>14</v>
      </c>
    </row>
    <row r="20" spans="1:18" ht="15" customHeight="1">
      <c r="A20" s="34">
        <v>15</v>
      </c>
      <c r="B20" s="37" t="str">
        <f>IF(A20="","",VLOOKUP(A20,Жеребьевка!$A$6:$C$45,2,0))</f>
        <v>Грабилова Евгения Вячеславовна</v>
      </c>
      <c r="C20" s="38" t="str">
        <f>IF(A20="","",VLOOKUP(A20,Жеребьевка!$A$6:$C$45,3,0))</f>
        <v>Москва</v>
      </c>
      <c r="D20" s="14">
        <f>'Модуль А-ПДД'!G23</f>
        <v>9.5</v>
      </c>
      <c r="E20" s="36">
        <f t="shared" si="0"/>
        <v>23</v>
      </c>
      <c r="F20" s="14">
        <f>'Модуль B-ЗУ ТРМ'!P24</f>
        <v>6.199999999999999</v>
      </c>
      <c r="G20" s="25">
        <f t="shared" si="1"/>
        <v>13</v>
      </c>
      <c r="H20" s="14">
        <f>'Модуль С-Приемка ПС'!G23</f>
        <v>0</v>
      </c>
      <c r="I20" s="25">
        <f t="shared" si="2"/>
        <v>26</v>
      </c>
      <c r="J20" s="14">
        <f>'Модуль D-КОП'!R24</f>
        <v>0</v>
      </c>
      <c r="K20" s="25">
        <f t="shared" si="3"/>
        <v>32</v>
      </c>
      <c r="L20" s="14">
        <f>'Модуль Е-Вождение'!BH24</f>
        <v>0</v>
      </c>
      <c r="M20" s="36">
        <f t="shared" si="4"/>
        <v>35</v>
      </c>
      <c r="N20" s="14">
        <f>'Модуль G-Комф вождение'!BH24</f>
        <v>48.79</v>
      </c>
      <c r="O20" s="25">
        <f t="shared" si="5"/>
        <v>25</v>
      </c>
      <c r="P20" s="39">
        <f t="shared" si="6"/>
        <v>64.49</v>
      </c>
      <c r="Q20" s="35">
        <f t="shared" si="7"/>
        <v>34</v>
      </c>
      <c r="R20" s="34">
        <f t="shared" si="8"/>
        <v>15</v>
      </c>
    </row>
    <row r="21" spans="1:18" ht="15" customHeight="1">
      <c r="A21" s="34">
        <v>16</v>
      </c>
      <c r="B21" s="37" t="str">
        <f>IF(A21="","",VLOOKUP(A21,Жеребьевка!$A$6:$C$45,2,0))</f>
        <v>Поляков Денис Анатольевич</v>
      </c>
      <c r="C21" s="38" t="str">
        <f>IF(A21="","",VLOOKUP(A21,Жеребьевка!$A$6:$C$45,3,0))</f>
        <v>Новотроицк</v>
      </c>
      <c r="D21" s="14">
        <f>'Модуль А-ПДД'!G24</f>
        <v>0</v>
      </c>
      <c r="E21" s="36">
        <f t="shared" si="0"/>
        <v>33</v>
      </c>
      <c r="F21" s="14">
        <f>'Модуль B-ЗУ ТРМ'!P25</f>
        <v>0.6</v>
      </c>
      <c r="G21" s="25">
        <f t="shared" si="1"/>
        <v>34</v>
      </c>
      <c r="H21" s="14">
        <f>'Модуль С-Приемка ПС'!G24</f>
        <v>0</v>
      </c>
      <c r="I21" s="25">
        <f t="shared" si="2"/>
        <v>26</v>
      </c>
      <c r="J21" s="14">
        <f>'Модуль D-КОП'!R25</f>
        <v>2.4</v>
      </c>
      <c r="K21" s="25">
        <f t="shared" si="3"/>
        <v>31</v>
      </c>
      <c r="L21" s="14">
        <f>'Модуль Е-Вождение'!BH25</f>
        <v>47.63</v>
      </c>
      <c r="M21" s="36">
        <f t="shared" si="4"/>
        <v>26</v>
      </c>
      <c r="N21" s="14">
        <f>'Модуль G-Комф вождение'!BH25</f>
        <v>39.85</v>
      </c>
      <c r="O21" s="25">
        <f t="shared" si="5"/>
        <v>29</v>
      </c>
      <c r="P21" s="39">
        <f t="shared" si="6"/>
        <v>90.48</v>
      </c>
      <c r="Q21" s="35">
        <f t="shared" si="7"/>
        <v>29</v>
      </c>
      <c r="R21" s="34">
        <f t="shared" si="8"/>
        <v>16</v>
      </c>
    </row>
    <row r="22" spans="1:18" ht="15" customHeight="1">
      <c r="A22" s="34">
        <v>17</v>
      </c>
      <c r="B22" s="37" t="str">
        <f>IF(A22="","",VLOOKUP(A22,Жеребьевка!$A$6:$C$45,2,0))</f>
        <v>Ефремов Александр Николаевич</v>
      </c>
      <c r="C22" s="38" t="str">
        <f>IF(A22="","",VLOOKUP(A22,Жеребьевка!$A$6:$C$45,3,0))</f>
        <v>Омск</v>
      </c>
      <c r="D22" s="14">
        <f>'Модуль А-ПДД'!G25</f>
        <v>9.5</v>
      </c>
      <c r="E22" s="36">
        <f t="shared" si="0"/>
        <v>23</v>
      </c>
      <c r="F22" s="14">
        <f>'Модуль B-ЗУ ТРМ'!P26</f>
        <v>6.199999999999999</v>
      </c>
      <c r="G22" s="25">
        <f t="shared" si="1"/>
        <v>13</v>
      </c>
      <c r="H22" s="14">
        <f>'Модуль С-Приемка ПС'!G25</f>
        <v>16.6</v>
      </c>
      <c r="I22" s="25">
        <f t="shared" si="2"/>
        <v>22</v>
      </c>
      <c r="J22" s="14">
        <f>'Модуль D-КОП'!R26</f>
        <v>6.05</v>
      </c>
      <c r="K22" s="25">
        <f t="shared" si="3"/>
        <v>13</v>
      </c>
      <c r="L22" s="14">
        <f>'Модуль Е-Вождение'!BH26</f>
        <v>53.69</v>
      </c>
      <c r="M22" s="36">
        <f t="shared" si="4"/>
        <v>21</v>
      </c>
      <c r="N22" s="14">
        <f>'Модуль G-Комф вождение'!BH26</f>
        <v>35.980000000000004</v>
      </c>
      <c r="O22" s="25">
        <f t="shared" si="5"/>
        <v>30</v>
      </c>
      <c r="P22" s="39">
        <f t="shared" si="6"/>
        <v>128.01999999999998</v>
      </c>
      <c r="Q22" s="35">
        <f t="shared" si="7"/>
        <v>23</v>
      </c>
      <c r="R22" s="34">
        <f t="shared" si="8"/>
        <v>17</v>
      </c>
    </row>
    <row r="23" spans="1:18" ht="15" customHeight="1">
      <c r="A23" s="34">
        <v>18</v>
      </c>
      <c r="B23" s="37" t="str">
        <f>IF(A23="","",VLOOKUP(A23,Жеребьевка!$A$6:$C$45,2,0))</f>
        <v>Володина Анастасия Александровна</v>
      </c>
      <c r="C23" s="38" t="str">
        <f>IF(A23="","",VLOOKUP(A23,Жеребьевка!$A$6:$C$45,3,0))</f>
        <v>Новокузнецк</v>
      </c>
      <c r="D23" s="14">
        <f>'Модуль А-ПДД'!G26</f>
        <v>9.5</v>
      </c>
      <c r="E23" s="36">
        <f t="shared" si="0"/>
        <v>23</v>
      </c>
      <c r="F23" s="14">
        <f>'Модуль B-ЗУ ТРМ'!P27</f>
        <v>4.6</v>
      </c>
      <c r="G23" s="25">
        <f t="shared" si="1"/>
        <v>18</v>
      </c>
      <c r="H23" s="14">
        <f>'Модуль С-Приемка ПС'!G26</f>
        <v>0</v>
      </c>
      <c r="I23" s="25">
        <f t="shared" si="2"/>
        <v>26</v>
      </c>
      <c r="J23" s="14">
        <f>'Модуль D-КОП'!R27</f>
        <v>6.05</v>
      </c>
      <c r="K23" s="25">
        <f t="shared" si="3"/>
        <v>13</v>
      </c>
      <c r="L23" s="14">
        <f>'Модуль Е-Вождение'!BH27</f>
        <v>37.81</v>
      </c>
      <c r="M23" s="36">
        <f t="shared" si="4"/>
        <v>33</v>
      </c>
      <c r="N23" s="14">
        <f>'Модуль G-Комф вождение'!BH27</f>
        <v>46.83</v>
      </c>
      <c r="O23" s="25">
        <f t="shared" si="5"/>
        <v>27</v>
      </c>
      <c r="P23" s="39">
        <f t="shared" si="6"/>
        <v>104.78999999999999</v>
      </c>
      <c r="Q23" s="35">
        <f t="shared" si="7"/>
        <v>27</v>
      </c>
      <c r="R23" s="34">
        <f t="shared" si="8"/>
        <v>18</v>
      </c>
    </row>
    <row r="24" spans="1:18" ht="15" customHeight="1">
      <c r="A24" s="34">
        <v>19</v>
      </c>
      <c r="B24" s="37" t="str">
        <f>IF(A24="","",VLOOKUP(A24,Жеребьевка!$A$6:$C$45,2,0))</f>
        <v>Черных Максим Юрьевич</v>
      </c>
      <c r="C24" s="38" t="str">
        <f>IF(A24="","",VLOOKUP(A24,Жеребьевка!$A$6:$C$45,3,0))</f>
        <v>Новосибирск</v>
      </c>
      <c r="D24" s="14">
        <f>'Модуль А-ПДД'!G27</f>
        <v>10.4</v>
      </c>
      <c r="E24" s="36">
        <f t="shared" si="0"/>
        <v>5</v>
      </c>
      <c r="F24" s="14">
        <f>'Модуль B-ЗУ ТРМ'!P28</f>
        <v>3.4</v>
      </c>
      <c r="G24" s="25">
        <f t="shared" si="1"/>
        <v>22</v>
      </c>
      <c r="H24" s="14">
        <f>'Модуль С-Приемка ПС'!G27</f>
        <v>0</v>
      </c>
      <c r="I24" s="25">
        <f t="shared" si="2"/>
        <v>26</v>
      </c>
      <c r="J24" s="14">
        <f>'Модуль D-КОП'!R28</f>
        <v>3.8</v>
      </c>
      <c r="K24" s="25">
        <f t="shared" si="3"/>
        <v>29</v>
      </c>
      <c r="L24" s="14">
        <f>'Модуль Е-Вождение'!BH28</f>
        <v>54.87</v>
      </c>
      <c r="M24" s="36">
        <f t="shared" si="4"/>
        <v>17</v>
      </c>
      <c r="N24" s="14">
        <f>'Модуль G-Комф вождение'!BH28</f>
        <v>0</v>
      </c>
      <c r="O24" s="25">
        <f t="shared" si="5"/>
        <v>31</v>
      </c>
      <c r="P24" s="39">
        <f t="shared" si="6"/>
        <v>72.47</v>
      </c>
      <c r="Q24" s="35">
        <f t="shared" si="7"/>
        <v>32</v>
      </c>
      <c r="R24" s="34">
        <f t="shared" si="8"/>
        <v>19</v>
      </c>
    </row>
    <row r="25" spans="1:18" ht="15" customHeight="1">
      <c r="A25" s="34">
        <v>20</v>
      </c>
      <c r="B25" s="37" t="str">
        <f>IF(A25="","",VLOOKUP(A25,Жеребьевка!$A$6:$C$45,2,0))</f>
        <v>Королев Дмитрий Сергеевич</v>
      </c>
      <c r="C25" s="38" t="str">
        <f>IF(A25="","",VLOOKUP(A25,Жеребьевка!$A$6:$C$45,3,0))</f>
        <v>Москва</v>
      </c>
      <c r="D25" s="14">
        <f>'Модуль А-ПДД'!G28</f>
        <v>10</v>
      </c>
      <c r="E25" s="36">
        <f t="shared" si="0"/>
        <v>6</v>
      </c>
      <c r="F25" s="14">
        <f>'Модуль B-ЗУ ТРМ'!P29</f>
        <v>3.2</v>
      </c>
      <c r="G25" s="25">
        <f t="shared" si="1"/>
        <v>24</v>
      </c>
      <c r="H25" s="14">
        <f>'Модуль С-Приемка ПС'!G28</f>
        <v>21.6</v>
      </c>
      <c r="I25" s="25">
        <f t="shared" si="2"/>
        <v>10</v>
      </c>
      <c r="J25" s="14">
        <f>'Модуль D-КОП'!R29</f>
        <v>4.4</v>
      </c>
      <c r="K25" s="25">
        <f t="shared" si="3"/>
        <v>26</v>
      </c>
      <c r="L25" s="14">
        <f>'Модуль Е-Вождение'!BH29</f>
        <v>53.78000000000001</v>
      </c>
      <c r="M25" s="36">
        <f t="shared" si="4"/>
        <v>20</v>
      </c>
      <c r="N25" s="14">
        <f>'Модуль G-Комф вождение'!BH29</f>
        <v>61.79</v>
      </c>
      <c r="O25" s="25">
        <f t="shared" si="5"/>
        <v>5</v>
      </c>
      <c r="P25" s="39">
        <f t="shared" si="6"/>
        <v>154.77</v>
      </c>
      <c r="Q25" s="35">
        <f t="shared" si="7"/>
        <v>13</v>
      </c>
      <c r="R25" s="34">
        <f t="shared" si="8"/>
        <v>20</v>
      </c>
    </row>
    <row r="26" spans="1:18" ht="15" customHeight="1">
      <c r="A26" s="34">
        <v>21</v>
      </c>
      <c r="B26" s="37" t="str">
        <f>IF(A26="","",VLOOKUP(A26,Жеребьевка!$A$6:$C$45,2,0))</f>
        <v>Сазеев Илья Михайлович</v>
      </c>
      <c r="C26" s="38" t="str">
        <f>IF(A26="","",VLOOKUP(A26,Жеребьевка!$A$6:$C$45,3,0))</f>
        <v>Нижний Новгород</v>
      </c>
      <c r="D26" s="14">
        <f>'Модуль А-ПДД'!G29</f>
        <v>10</v>
      </c>
      <c r="E26" s="36">
        <f t="shared" si="0"/>
        <v>6</v>
      </c>
      <c r="F26" s="14">
        <f>'Модуль B-ЗУ ТРМ'!P30</f>
        <v>2.5999999999999996</v>
      </c>
      <c r="G26" s="25">
        <f t="shared" si="1"/>
        <v>27</v>
      </c>
      <c r="H26" s="14">
        <f>'Модуль С-Приемка ПС'!G29</f>
        <v>20</v>
      </c>
      <c r="I26" s="25">
        <f t="shared" si="2"/>
        <v>14</v>
      </c>
      <c r="J26" s="14">
        <f>'Модуль D-КОП'!R30</f>
        <v>4.8</v>
      </c>
      <c r="K26" s="25">
        <f t="shared" si="3"/>
        <v>21</v>
      </c>
      <c r="L26" s="14">
        <f>'Модуль Е-Вождение'!BH30</f>
        <v>67.67</v>
      </c>
      <c r="M26" s="36">
        <f t="shared" si="4"/>
        <v>4</v>
      </c>
      <c r="N26" s="14">
        <f>'Модуль G-Комф вождение'!BH30</f>
        <v>51.73</v>
      </c>
      <c r="O26" s="25">
        <f t="shared" si="5"/>
        <v>18</v>
      </c>
      <c r="P26" s="39">
        <f t="shared" si="6"/>
        <v>156.79999999999998</v>
      </c>
      <c r="Q26" s="35">
        <f t="shared" si="7"/>
        <v>11</v>
      </c>
      <c r="R26" s="34">
        <f t="shared" si="8"/>
        <v>21</v>
      </c>
    </row>
    <row r="27" spans="1:18" ht="15" customHeight="1">
      <c r="A27" s="34">
        <v>22</v>
      </c>
      <c r="B27" s="37" t="str">
        <f>IF(A27="","",VLOOKUP(A27,Жеребьевка!$A$6:$C$45,2,0))</f>
        <v>Кузюк Валентина Павловна</v>
      </c>
      <c r="C27" s="38" t="str">
        <f>IF(A27="","",VLOOKUP(A27,Жеребьевка!$A$6:$C$45,3,0))</f>
        <v>Ачинск</v>
      </c>
      <c r="D27" s="14">
        <f>'Модуль А-ПДД'!G30</f>
        <v>0</v>
      </c>
      <c r="E27" s="36">
        <f t="shared" si="0"/>
        <v>33</v>
      </c>
      <c r="F27" s="14">
        <f>'Модуль B-ЗУ ТРМ'!P31</f>
        <v>2</v>
      </c>
      <c r="G27" s="25">
        <f t="shared" si="1"/>
        <v>28</v>
      </c>
      <c r="H27" s="14">
        <f>'Модуль С-Приемка ПС'!G30</f>
        <v>18</v>
      </c>
      <c r="I27" s="25">
        <f t="shared" si="2"/>
        <v>19</v>
      </c>
      <c r="J27" s="14">
        <f>'Модуль D-КОП'!R31</f>
        <v>4.55</v>
      </c>
      <c r="K27" s="25">
        <f t="shared" si="3"/>
        <v>24</v>
      </c>
      <c r="L27" s="14">
        <f>'Модуль Е-Вождение'!BH31</f>
        <v>55.69</v>
      </c>
      <c r="M27" s="36">
        <f t="shared" si="4"/>
        <v>16</v>
      </c>
      <c r="N27" s="14">
        <f>'Модуль G-Комф вождение'!BH31</f>
        <v>49.77</v>
      </c>
      <c r="O27" s="25">
        <f t="shared" si="5"/>
        <v>23</v>
      </c>
      <c r="P27" s="39">
        <f t="shared" si="6"/>
        <v>130.01</v>
      </c>
      <c r="Q27" s="35">
        <f t="shared" si="7"/>
        <v>20</v>
      </c>
      <c r="R27" s="34">
        <f t="shared" si="8"/>
        <v>22</v>
      </c>
    </row>
    <row r="28" spans="1:18" ht="15" customHeight="1">
      <c r="A28" s="34">
        <v>23</v>
      </c>
      <c r="B28" s="37" t="str">
        <f>IF(A28="","",VLOOKUP(A28,Жеребьевка!$A$6:$C$45,2,0))</f>
        <v>Глуханюк Михаил Юрьевич</v>
      </c>
      <c r="C28" s="38" t="str">
        <f>IF(A28="","",VLOOKUP(A28,Жеребьевка!$A$6:$C$45,3,0))</f>
        <v>Санкт-Петербург</v>
      </c>
      <c r="D28" s="14">
        <f>'Модуль А-ПДД'!G31</f>
        <v>10</v>
      </c>
      <c r="E28" s="36">
        <f t="shared" si="0"/>
        <v>6</v>
      </c>
      <c r="F28" s="14">
        <f>'Модуль B-ЗУ ТРМ'!P32</f>
        <v>10</v>
      </c>
      <c r="G28" s="25">
        <f t="shared" si="1"/>
        <v>6</v>
      </c>
      <c r="H28" s="14">
        <f>'Модуль С-Приемка ПС'!G31</f>
        <v>0</v>
      </c>
      <c r="I28" s="25">
        <f t="shared" si="2"/>
        <v>26</v>
      </c>
      <c r="J28" s="14">
        <f>'Модуль D-КОП'!R32</f>
        <v>5.3</v>
      </c>
      <c r="K28" s="25">
        <f t="shared" si="3"/>
        <v>16</v>
      </c>
      <c r="L28" s="14">
        <f>'Модуль Е-Вождение'!BH32</f>
        <v>36.91</v>
      </c>
      <c r="M28" s="36">
        <f t="shared" si="4"/>
        <v>34</v>
      </c>
      <c r="N28" s="14">
        <f>'Модуль G-Комф вождение'!BH32</f>
        <v>52.81</v>
      </c>
      <c r="O28" s="25">
        <f t="shared" si="5"/>
        <v>17</v>
      </c>
      <c r="P28" s="39">
        <f t="shared" si="6"/>
        <v>115.02</v>
      </c>
      <c r="Q28" s="35">
        <f t="shared" si="7"/>
        <v>25</v>
      </c>
      <c r="R28" s="34">
        <f t="shared" si="8"/>
        <v>23</v>
      </c>
    </row>
    <row r="29" spans="1:18" ht="15" customHeight="1">
      <c r="A29" s="34">
        <v>24</v>
      </c>
      <c r="B29" s="37" t="str">
        <f>IF(A29="","",VLOOKUP(A29,Жеребьевка!$A$6:$C$45,2,0))</f>
        <v>Лобачёва Анжелика Юрьевна</v>
      </c>
      <c r="C29" s="38" t="str">
        <f>IF(A29="","",VLOOKUP(A29,Жеребьевка!$A$6:$C$45,3,0))</f>
        <v>Волгоград</v>
      </c>
      <c r="D29" s="14">
        <f>'Модуль А-ПДД'!G32</f>
        <v>10</v>
      </c>
      <c r="E29" s="36">
        <f t="shared" si="0"/>
        <v>6</v>
      </c>
      <c r="F29" s="14">
        <f>'Модуль B-ЗУ ТРМ'!P33</f>
        <v>11.5</v>
      </c>
      <c r="G29" s="25">
        <f t="shared" si="1"/>
        <v>2</v>
      </c>
      <c r="H29" s="14">
        <f>'Модуль С-Приемка ПС'!G32</f>
        <v>23.8</v>
      </c>
      <c r="I29" s="25">
        <f t="shared" si="2"/>
        <v>3</v>
      </c>
      <c r="J29" s="14">
        <f>'Модуль D-КОП'!R33</f>
        <v>8.1</v>
      </c>
      <c r="K29" s="25">
        <f t="shared" si="3"/>
        <v>3</v>
      </c>
      <c r="L29" s="14">
        <f>'Модуль Е-Вождение'!BH33</f>
        <v>75.83000000000001</v>
      </c>
      <c r="M29" s="36">
        <f t="shared" si="4"/>
        <v>2</v>
      </c>
      <c r="N29" s="14">
        <f>'Модуль G-Комф вождение'!BH33</f>
        <v>62.75000000000001</v>
      </c>
      <c r="O29" s="25">
        <f t="shared" si="5"/>
        <v>3</v>
      </c>
      <c r="P29" s="39">
        <f t="shared" si="6"/>
        <v>191.98000000000002</v>
      </c>
      <c r="Q29" s="35">
        <f t="shared" si="7"/>
        <v>1</v>
      </c>
      <c r="R29" s="34">
        <f t="shared" si="8"/>
        <v>24</v>
      </c>
    </row>
    <row r="30" spans="1:18" ht="15" customHeight="1">
      <c r="A30" s="34">
        <v>25</v>
      </c>
      <c r="B30" s="37" t="str">
        <f>IF(A30="","",VLOOKUP(A30,Жеребьевка!$A$6:$C$45,2,0))</f>
        <v>Пиженко Анатолий Александрович</v>
      </c>
      <c r="C30" s="38" t="str">
        <f>IF(A30="","",VLOOKUP(A30,Жеребьевка!$A$6:$C$45,3,0))</f>
        <v>Волгоград</v>
      </c>
      <c r="D30" s="14">
        <f>'Модуль А-ПДД'!G33</f>
        <v>11</v>
      </c>
      <c r="E30" s="36">
        <f t="shared" si="0"/>
        <v>3</v>
      </c>
      <c r="F30" s="14">
        <f>'Модуль B-ЗУ ТРМ'!P34</f>
        <v>9.4</v>
      </c>
      <c r="G30" s="25">
        <f t="shared" si="1"/>
        <v>9</v>
      </c>
      <c r="H30" s="14">
        <f>'Модуль С-Приемка ПС'!G33</f>
        <v>22.200000000000003</v>
      </c>
      <c r="I30" s="25">
        <f t="shared" si="2"/>
        <v>5</v>
      </c>
      <c r="J30" s="14">
        <f>'Модуль D-КОП'!R34</f>
        <v>8.5</v>
      </c>
      <c r="K30" s="25">
        <f t="shared" si="3"/>
        <v>1</v>
      </c>
      <c r="L30" s="14">
        <f>'Модуль Е-Вождение'!BH34</f>
        <v>77.73</v>
      </c>
      <c r="M30" s="36">
        <f t="shared" si="4"/>
        <v>1</v>
      </c>
      <c r="N30" s="14">
        <f>'Модуль G-Комф вождение'!BH34</f>
        <v>62.86000000000001</v>
      </c>
      <c r="O30" s="25">
        <f t="shared" si="5"/>
        <v>1</v>
      </c>
      <c r="P30" s="39">
        <f t="shared" si="6"/>
        <v>191.69000000000003</v>
      </c>
      <c r="Q30" s="35">
        <f t="shared" si="7"/>
        <v>2</v>
      </c>
      <c r="R30" s="34">
        <f t="shared" si="8"/>
        <v>25</v>
      </c>
    </row>
    <row r="31" spans="1:18" ht="15" customHeight="1">
      <c r="A31" s="34">
        <v>26</v>
      </c>
      <c r="B31" s="37" t="str">
        <f>IF(A31="","",VLOOKUP(A31,Жеребьевка!$A$6:$C$45,2,0))</f>
        <v>Полещук Юлия Викторовна</v>
      </c>
      <c r="C31" s="38" t="str">
        <f>IF(A31="","",VLOOKUP(A31,Жеребьевка!$A$6:$C$45,3,0))</f>
        <v>Курск</v>
      </c>
      <c r="D31" s="14">
        <f>'Модуль А-ПДД'!G34</f>
        <v>10</v>
      </c>
      <c r="E31" s="36">
        <f t="shared" si="0"/>
        <v>6</v>
      </c>
      <c r="F31" s="14">
        <f>'Модуль B-ЗУ ТРМ'!P35</f>
        <v>5.3999999999999995</v>
      </c>
      <c r="G31" s="25">
        <f t="shared" si="1"/>
        <v>16</v>
      </c>
      <c r="H31" s="14">
        <f>'Модуль С-Приемка ПС'!G34</f>
        <v>0</v>
      </c>
      <c r="I31" s="25">
        <f t="shared" si="2"/>
        <v>26</v>
      </c>
      <c r="J31" s="14">
        <f>'Модуль D-КОП'!R35</f>
        <v>6.75</v>
      </c>
      <c r="K31" s="25">
        <f t="shared" si="3"/>
        <v>9</v>
      </c>
      <c r="L31" s="14">
        <f>'Модуль Е-Вождение'!BH35</f>
        <v>57.800000000000004</v>
      </c>
      <c r="M31" s="36">
        <f t="shared" si="4"/>
        <v>14</v>
      </c>
      <c r="N31" s="14">
        <f>'Модуль G-Комф вождение'!BH35</f>
        <v>56.33</v>
      </c>
      <c r="O31" s="25">
        <f t="shared" si="5"/>
        <v>12</v>
      </c>
      <c r="P31" s="39">
        <f t="shared" si="6"/>
        <v>136.28</v>
      </c>
      <c r="Q31" s="35">
        <f t="shared" si="7"/>
        <v>17</v>
      </c>
      <c r="R31" s="34">
        <f t="shared" si="8"/>
        <v>26</v>
      </c>
    </row>
    <row r="32" spans="1:18" ht="15" customHeight="1">
      <c r="A32" s="34">
        <v>27</v>
      </c>
      <c r="B32" s="37" t="str">
        <f>IF(A32="","",VLOOKUP(A32,Жеребьевка!$A$6:$C$45,2,0))</f>
        <v>Прохорова Ольга Викторовна</v>
      </c>
      <c r="C32" s="38" t="str">
        <f>IF(A32="","",VLOOKUP(A32,Жеребьевка!$A$6:$C$45,3,0))</f>
        <v>Ульяновск</v>
      </c>
      <c r="D32" s="14">
        <f>'Модуль А-ПДД'!G35</f>
        <v>10</v>
      </c>
      <c r="E32" s="36">
        <f t="shared" si="0"/>
        <v>6</v>
      </c>
      <c r="F32" s="14">
        <f>'Модуль B-ЗУ ТРМ'!P36</f>
        <v>6.199999999999999</v>
      </c>
      <c r="G32" s="25">
        <f t="shared" si="1"/>
        <v>13</v>
      </c>
      <c r="H32" s="14">
        <f>'Модуль С-Приемка ПС'!G35</f>
        <v>19.8</v>
      </c>
      <c r="I32" s="25">
        <f t="shared" si="2"/>
        <v>15</v>
      </c>
      <c r="J32" s="14">
        <f>'Модуль D-КОП'!R36</f>
        <v>0</v>
      </c>
      <c r="K32" s="25">
        <f t="shared" si="3"/>
        <v>32</v>
      </c>
      <c r="L32" s="14">
        <f>'Модуль Е-Вождение'!BH36</f>
        <v>48.7</v>
      </c>
      <c r="M32" s="36">
        <f t="shared" si="4"/>
        <v>24</v>
      </c>
      <c r="N32" s="14">
        <f>'Модуль G-Комф вождение'!BH36</f>
        <v>0</v>
      </c>
      <c r="O32" s="25">
        <f t="shared" si="5"/>
        <v>31</v>
      </c>
      <c r="P32" s="39">
        <f t="shared" si="6"/>
        <v>84.7</v>
      </c>
      <c r="Q32" s="35">
        <f t="shared" si="7"/>
        <v>31</v>
      </c>
      <c r="R32" s="34">
        <f t="shared" si="8"/>
        <v>27</v>
      </c>
    </row>
    <row r="33" spans="1:18" ht="15" customHeight="1">
      <c r="A33" s="34">
        <v>28</v>
      </c>
      <c r="B33" s="37" t="str">
        <f>IF(A33="","",VLOOKUP(A33,Жеребьевка!$A$6:$C$45,2,0))</f>
        <v>Филатов Александр Валерьевич</v>
      </c>
      <c r="C33" s="38" t="str">
        <f>IF(A33="","",VLOOKUP(A33,Жеребьевка!$A$6:$C$45,3,0))</f>
        <v>Челябинск</v>
      </c>
      <c r="D33" s="14">
        <f>'Модуль А-ПДД'!G36</f>
        <v>10</v>
      </c>
      <c r="E33" s="36">
        <f t="shared" si="0"/>
        <v>6</v>
      </c>
      <c r="F33" s="14">
        <f>'Модуль B-ЗУ ТРМ'!P37</f>
        <v>3.4</v>
      </c>
      <c r="G33" s="25">
        <f t="shared" si="1"/>
        <v>22</v>
      </c>
      <c r="H33" s="14">
        <f>'Модуль С-Приемка ПС'!G36</f>
        <v>17.8</v>
      </c>
      <c r="I33" s="25">
        <f t="shared" si="2"/>
        <v>20</v>
      </c>
      <c r="J33" s="14">
        <f>'Модуль D-КОП'!R37</f>
        <v>4.85</v>
      </c>
      <c r="K33" s="25">
        <f t="shared" si="3"/>
        <v>20</v>
      </c>
      <c r="L33" s="14">
        <f>'Модуль Е-Вождение'!BH37</f>
        <v>0</v>
      </c>
      <c r="M33" s="36">
        <f t="shared" si="4"/>
        <v>35</v>
      </c>
      <c r="N33" s="14">
        <f>'Модуль G-Комф вождение'!BH37</f>
        <v>51.629999999999995</v>
      </c>
      <c r="O33" s="25">
        <f t="shared" si="5"/>
        <v>19</v>
      </c>
      <c r="P33" s="39">
        <f t="shared" si="6"/>
        <v>87.68</v>
      </c>
      <c r="Q33" s="35">
        <f t="shared" si="7"/>
        <v>30</v>
      </c>
      <c r="R33" s="34">
        <f t="shared" si="8"/>
        <v>28</v>
      </c>
    </row>
    <row r="34" spans="1:18" ht="15" customHeight="1">
      <c r="A34" s="34">
        <v>29</v>
      </c>
      <c r="B34" s="37" t="str">
        <f>IF(A34="","",VLOOKUP(A34,Жеребьевка!$A$6:$C$45,2,0))</f>
        <v>Шереверов Алексей Юрьевич</v>
      </c>
      <c r="C34" s="38" t="str">
        <f>IF(A34="","",VLOOKUP(A34,Жеребьевка!$A$6:$C$45,3,0))</f>
        <v>Ростов-на-Дону</v>
      </c>
      <c r="D34" s="14">
        <f>'Модуль А-ПДД'!G37</f>
        <v>9.5</v>
      </c>
      <c r="E34" s="36">
        <f t="shared" si="0"/>
        <v>23</v>
      </c>
      <c r="F34" s="14">
        <f>'Модуль B-ЗУ ТРМ'!P38</f>
        <v>1.7999999999999998</v>
      </c>
      <c r="G34" s="25">
        <f t="shared" si="1"/>
        <v>29</v>
      </c>
      <c r="H34" s="14">
        <f>'Модуль С-Приемка ПС'!G37</f>
        <v>14.4</v>
      </c>
      <c r="I34" s="25">
        <f t="shared" si="2"/>
        <v>24</v>
      </c>
      <c r="J34" s="14">
        <f>'Модуль D-КОП'!R38</f>
        <v>3.8</v>
      </c>
      <c r="K34" s="25">
        <f t="shared" si="3"/>
        <v>29</v>
      </c>
      <c r="L34" s="14">
        <f>'Модуль Е-Вождение'!BH38</f>
        <v>61.879999999999995</v>
      </c>
      <c r="M34" s="36">
        <f t="shared" si="4"/>
        <v>11</v>
      </c>
      <c r="N34" s="14">
        <f>'Модуль G-Комф вождение'!BH38</f>
        <v>52.92</v>
      </c>
      <c r="O34" s="25">
        <f t="shared" si="5"/>
        <v>16</v>
      </c>
      <c r="P34" s="39">
        <f t="shared" si="6"/>
        <v>144.3</v>
      </c>
      <c r="Q34" s="35">
        <f t="shared" si="7"/>
        <v>15</v>
      </c>
      <c r="R34" s="34">
        <f t="shared" si="8"/>
        <v>29</v>
      </c>
    </row>
    <row r="35" spans="1:18" ht="15" customHeight="1">
      <c r="A35" s="34">
        <v>30</v>
      </c>
      <c r="B35" s="37" t="str">
        <f>IF(A35="","",VLOOKUP(A35,Жеребьевка!$A$6:$C$45,2,0))</f>
        <v>Дикова Ирина Владимировна</v>
      </c>
      <c r="C35" s="38" t="str">
        <f>IF(A35="","",VLOOKUP(A35,Жеребьевка!$A$6:$C$45,3,0))</f>
        <v>Коломна</v>
      </c>
      <c r="D35" s="14">
        <f>'Модуль А-ПДД'!G38</f>
        <v>10</v>
      </c>
      <c r="E35" s="36">
        <f t="shared" si="0"/>
        <v>6</v>
      </c>
      <c r="F35" s="14">
        <f>'Модуль B-ЗУ ТРМ'!P39</f>
        <v>4</v>
      </c>
      <c r="G35" s="25">
        <f t="shared" si="1"/>
        <v>19</v>
      </c>
      <c r="H35" s="14">
        <f>'Модуль С-Приемка ПС'!G38</f>
        <v>24.8</v>
      </c>
      <c r="I35" s="25">
        <f t="shared" si="2"/>
        <v>1</v>
      </c>
      <c r="J35" s="14">
        <f>'Модуль D-КОП'!R39</f>
        <v>8.399999999999999</v>
      </c>
      <c r="K35" s="25">
        <f t="shared" si="3"/>
        <v>2</v>
      </c>
      <c r="L35" s="14">
        <f>'Модуль Е-Вождение'!BH39</f>
        <v>47.6</v>
      </c>
      <c r="M35" s="36">
        <f t="shared" si="4"/>
        <v>27</v>
      </c>
      <c r="N35" s="14">
        <f>'Модуль G-Комф вождение'!BH39</f>
        <v>62.48</v>
      </c>
      <c r="O35" s="25">
        <f t="shared" si="5"/>
        <v>4</v>
      </c>
      <c r="P35" s="39">
        <f t="shared" si="6"/>
        <v>157.28</v>
      </c>
      <c r="Q35" s="35">
        <f t="shared" si="7"/>
        <v>10</v>
      </c>
      <c r="R35" s="34">
        <f t="shared" si="8"/>
        <v>30</v>
      </c>
    </row>
    <row r="36" spans="1:18" ht="15" customHeight="1">
      <c r="A36" s="34">
        <v>31</v>
      </c>
      <c r="B36" s="37" t="str">
        <f>IF(A36="","",VLOOKUP(A36,Жеребьевка!$A$6:$C$45,2,0))</f>
        <v>Демина Кристина Альбертовна</v>
      </c>
      <c r="C36" s="38" t="str">
        <f>IF(A36="","",VLOOKUP(A36,Жеребьевка!$A$6:$C$45,3,0))</f>
        <v>Златоуст</v>
      </c>
      <c r="D36" s="14">
        <f>'Модуль А-ПДД'!G39</f>
        <v>9</v>
      </c>
      <c r="E36" s="36">
        <f t="shared" si="0"/>
        <v>31</v>
      </c>
      <c r="F36" s="14">
        <f>'Модуль B-ЗУ ТРМ'!P40</f>
        <v>1.2</v>
      </c>
      <c r="G36" s="25">
        <f t="shared" si="1"/>
        <v>32</v>
      </c>
      <c r="H36" s="14">
        <f>'Модуль С-Приемка ПС'!G39</f>
        <v>0</v>
      </c>
      <c r="I36" s="25">
        <f t="shared" si="2"/>
        <v>26</v>
      </c>
      <c r="J36" s="14">
        <f>'Модуль D-КОП'!R40</f>
        <v>0</v>
      </c>
      <c r="K36" s="25">
        <f t="shared" si="3"/>
        <v>32</v>
      </c>
      <c r="L36" s="14">
        <f>'Модуль Е-Вождение'!BH40</f>
        <v>51.56999999999999</v>
      </c>
      <c r="M36" s="36">
        <f t="shared" si="4"/>
        <v>23</v>
      </c>
      <c r="N36" s="14">
        <f>'Модуль G-Комф вождение'!BH40</f>
        <v>0</v>
      </c>
      <c r="O36" s="25">
        <f t="shared" si="5"/>
        <v>31</v>
      </c>
      <c r="P36" s="39">
        <f t="shared" si="6"/>
        <v>61.769999999999996</v>
      </c>
      <c r="Q36" s="35">
        <f t="shared" si="7"/>
        <v>36</v>
      </c>
      <c r="R36" s="34">
        <f t="shared" si="8"/>
        <v>31</v>
      </c>
    </row>
    <row r="37" spans="1:18" ht="15" customHeight="1">
      <c r="A37" s="34">
        <v>32</v>
      </c>
      <c r="B37" s="37" t="str">
        <f>IF(A37="","",VLOOKUP(A37,Жеребьевка!$A$6:$C$45,2,0))</f>
        <v>Долганов Никита Вячеславович</v>
      </c>
      <c r="C37" s="38" t="str">
        <f>IF(A37="","",VLOOKUP(A37,Жеребьевка!$A$6:$C$45,3,0))</f>
        <v>Самара</v>
      </c>
      <c r="D37" s="14">
        <f>'Модуль А-ПДД'!G40</f>
        <v>0</v>
      </c>
      <c r="E37" s="36">
        <f t="shared" si="0"/>
        <v>33</v>
      </c>
      <c r="F37" s="14">
        <f>'Модуль B-ЗУ ТРМ'!P41</f>
        <v>3.9999999999999996</v>
      </c>
      <c r="G37" s="25">
        <f t="shared" si="1"/>
        <v>21</v>
      </c>
      <c r="H37" s="14">
        <f>'Модуль С-Приемка ПС'!G40</f>
        <v>21.400000000000002</v>
      </c>
      <c r="I37" s="25">
        <f t="shared" si="2"/>
        <v>11</v>
      </c>
      <c r="J37" s="14">
        <f>'Модуль D-КОП'!R41</f>
        <v>5.4</v>
      </c>
      <c r="K37" s="25">
        <f t="shared" si="3"/>
        <v>15</v>
      </c>
      <c r="L37" s="14">
        <f>'Модуль Е-Вождение'!BH41</f>
        <v>42.58</v>
      </c>
      <c r="M37" s="36">
        <f t="shared" si="4"/>
        <v>29</v>
      </c>
      <c r="N37" s="14">
        <f>'Модуль G-Комф вождение'!BH41</f>
        <v>55.73</v>
      </c>
      <c r="O37" s="25">
        <f t="shared" si="5"/>
        <v>13</v>
      </c>
      <c r="P37" s="39">
        <f t="shared" si="6"/>
        <v>129.10999999999999</v>
      </c>
      <c r="Q37" s="35">
        <f t="shared" si="7"/>
        <v>21</v>
      </c>
      <c r="R37" s="34">
        <f t="shared" si="8"/>
        <v>32</v>
      </c>
    </row>
    <row r="38" spans="1:18" ht="15" customHeight="1">
      <c r="A38" s="34">
        <v>33</v>
      </c>
      <c r="B38" s="37" t="str">
        <f>IF(A38="","",VLOOKUP(A38,Жеребьевка!$A$6:$C$45,2,0))</f>
        <v>Панин Сергей Эдуардович</v>
      </c>
      <c r="C38" s="38" t="str">
        <f>IF(A38="","",VLOOKUP(A38,Жеребьевка!$A$6:$C$45,3,0))</f>
        <v>Самара</v>
      </c>
      <c r="D38" s="14">
        <f>'Модуль А-ПДД'!G41</f>
        <v>12</v>
      </c>
      <c r="E38" s="36">
        <f t="shared" si="0"/>
        <v>1</v>
      </c>
      <c r="F38" s="14">
        <f>'Модуль B-ЗУ ТРМ'!P42</f>
        <v>10.4</v>
      </c>
      <c r="G38" s="25">
        <f t="shared" si="1"/>
        <v>5</v>
      </c>
      <c r="H38" s="14">
        <f>'Модуль С-Приемка ПС'!G41</f>
        <v>22.200000000000003</v>
      </c>
      <c r="I38" s="25">
        <f t="shared" si="2"/>
        <v>5</v>
      </c>
      <c r="J38" s="14">
        <f>'Модуль D-КОП'!R42</f>
        <v>6.8999999999999995</v>
      </c>
      <c r="K38" s="25">
        <f t="shared" si="3"/>
        <v>8</v>
      </c>
      <c r="L38" s="14">
        <f>'Модуль Е-Вождение'!BH42</f>
        <v>73.59</v>
      </c>
      <c r="M38" s="36">
        <f t="shared" si="4"/>
        <v>3</v>
      </c>
      <c r="N38" s="14">
        <f>'Модуль G-Комф вождение'!BH42</f>
        <v>62.82</v>
      </c>
      <c r="O38" s="25">
        <f t="shared" si="5"/>
        <v>2</v>
      </c>
      <c r="P38" s="39">
        <f t="shared" si="6"/>
        <v>187.91</v>
      </c>
      <c r="Q38" s="35">
        <f t="shared" si="7"/>
        <v>3</v>
      </c>
      <c r="R38" s="34">
        <f t="shared" si="8"/>
        <v>33</v>
      </c>
    </row>
    <row r="39" spans="1:18" ht="15" customHeight="1">
      <c r="A39" s="34">
        <v>34</v>
      </c>
      <c r="B39" s="37" t="str">
        <f>IF(A39="","",VLOOKUP(A39,Жеребьевка!$A$6:$C$45,2,0))</f>
        <v>Шучалова Татьяна Владимировна</v>
      </c>
      <c r="C39" s="38" t="str">
        <f>IF(A39="","",VLOOKUP(A39,Жеребьевка!$A$6:$C$45,3,0))</f>
        <v>Магнитогорск</v>
      </c>
      <c r="D39" s="14">
        <f>'Модуль А-ПДД'!G42</f>
        <v>0</v>
      </c>
      <c r="E39" s="36">
        <f t="shared" si="0"/>
        <v>33</v>
      </c>
      <c r="F39" s="14">
        <f>'Модуль B-ЗУ ТРМ'!P43</f>
        <v>1.4</v>
      </c>
      <c r="G39" s="25">
        <f t="shared" si="1"/>
        <v>30</v>
      </c>
      <c r="H39" s="14">
        <f>'Модуль С-Приемка ПС'!G42</f>
        <v>0</v>
      </c>
      <c r="I39" s="25">
        <f t="shared" si="2"/>
        <v>26</v>
      </c>
      <c r="J39" s="14">
        <f>'Модуль D-КОП'!R43</f>
        <v>4.949999999999999</v>
      </c>
      <c r="K39" s="25">
        <f t="shared" si="3"/>
        <v>19</v>
      </c>
      <c r="L39" s="14">
        <f>'Модуль Е-Вождение'!BH43</f>
        <v>48.48</v>
      </c>
      <c r="M39" s="36">
        <f t="shared" si="4"/>
        <v>25</v>
      </c>
      <c r="N39" s="14">
        <f>'Модуль G-Комф вождение'!BH43</f>
        <v>50.36</v>
      </c>
      <c r="O39" s="25">
        <f t="shared" si="5"/>
        <v>22</v>
      </c>
      <c r="P39" s="39">
        <f t="shared" si="6"/>
        <v>105.19</v>
      </c>
      <c r="Q39" s="35">
        <f t="shared" si="7"/>
        <v>26</v>
      </c>
      <c r="R39" s="34">
        <f t="shared" si="8"/>
        <v>34</v>
      </c>
    </row>
    <row r="40" spans="1:18" ht="15" customHeight="1">
      <c r="A40" s="34">
        <v>35</v>
      </c>
      <c r="B40" s="37" t="str">
        <f>IF(A40="","",VLOOKUP(A40,Жеребьевка!$A$6:$C$45,2,0))</f>
        <v>Гнусов Павел Михайлович</v>
      </c>
      <c r="C40" s="38" t="str">
        <f>IF(A40="","",VLOOKUP(A40,Жеребьевка!$A$6:$C$45,3,0))</f>
        <v>Ижевск</v>
      </c>
      <c r="D40" s="14">
        <f>'Модуль А-ПДД'!G43</f>
        <v>10</v>
      </c>
      <c r="E40" s="36">
        <f t="shared" si="0"/>
        <v>6</v>
      </c>
      <c r="F40" s="14">
        <f>'Модуль B-ЗУ ТРМ'!P44</f>
        <v>11</v>
      </c>
      <c r="G40" s="25">
        <f t="shared" si="1"/>
        <v>3</v>
      </c>
      <c r="H40" s="14">
        <f>'Модуль С-Приемка ПС'!G43</f>
        <v>22.6</v>
      </c>
      <c r="I40" s="25">
        <f t="shared" si="2"/>
        <v>4</v>
      </c>
      <c r="J40" s="14">
        <f>'Модуль D-КОП'!R44</f>
        <v>7</v>
      </c>
      <c r="K40" s="25">
        <f t="shared" si="3"/>
        <v>7</v>
      </c>
      <c r="L40" s="14">
        <f>'Модуль Е-Вождение'!BH44</f>
        <v>62.779999999999994</v>
      </c>
      <c r="M40" s="36">
        <f t="shared" si="4"/>
        <v>10</v>
      </c>
      <c r="N40" s="14">
        <f>'Модуль G-Комф вождение'!BH44</f>
        <v>60.69</v>
      </c>
      <c r="O40" s="25">
        <f t="shared" si="5"/>
        <v>8</v>
      </c>
      <c r="P40" s="39">
        <f t="shared" si="6"/>
        <v>174.07</v>
      </c>
      <c r="Q40" s="35">
        <f t="shared" si="7"/>
        <v>5</v>
      </c>
      <c r="R40" s="34">
        <f t="shared" si="8"/>
        <v>35</v>
      </c>
    </row>
    <row r="41" spans="1:18" ht="15" customHeight="1">
      <c r="A41" s="34">
        <v>36</v>
      </c>
      <c r="B41" s="37" t="str">
        <f>IF(A41="","",VLOOKUP(A41,Жеребьевка!$A$6:$C$45,2,0))</f>
        <v>Гайнутдинова Асия Фаридовна</v>
      </c>
      <c r="C41" s="38" t="str">
        <f>IF(A41="","",VLOOKUP(A41,Жеребьевка!$A$6:$C$45,3,0))</f>
        <v>Казань</v>
      </c>
      <c r="D41" s="14">
        <f>'Модуль А-ПДД'!G44</f>
        <v>10</v>
      </c>
      <c r="E41" s="36">
        <f t="shared" si="0"/>
        <v>6</v>
      </c>
      <c r="F41" s="14">
        <f>'Модуль B-ЗУ ТРМ'!P45</f>
        <v>10</v>
      </c>
      <c r="G41" s="25">
        <f t="shared" si="1"/>
        <v>6</v>
      </c>
      <c r="H41" s="14">
        <f>'Модуль С-Приемка ПС'!G44</f>
        <v>20.200000000000003</v>
      </c>
      <c r="I41" s="25">
        <f t="shared" si="2"/>
        <v>13</v>
      </c>
      <c r="J41" s="14">
        <f>'Модуль D-КОП'!R45</f>
        <v>6.050000000000001</v>
      </c>
      <c r="K41" s="25">
        <f t="shared" si="3"/>
        <v>12</v>
      </c>
      <c r="L41" s="14">
        <f>'Модуль Е-Вождение'!BH45</f>
        <v>57.459999999999994</v>
      </c>
      <c r="M41" s="36">
        <f t="shared" si="4"/>
        <v>15</v>
      </c>
      <c r="N41" s="14">
        <f>'Модуль G-Комф вождение'!BH45</f>
        <v>56.61</v>
      </c>
      <c r="O41" s="25">
        <f t="shared" si="5"/>
        <v>11</v>
      </c>
      <c r="P41" s="39">
        <f t="shared" si="6"/>
        <v>160.32</v>
      </c>
      <c r="Q41" s="35">
        <f t="shared" si="7"/>
        <v>9</v>
      </c>
      <c r="R41" s="34">
        <f t="shared" si="8"/>
        <v>36</v>
      </c>
    </row>
    <row r="44" spans="6:13" ht="12.75">
      <c r="F44" s="114" t="s">
        <v>76</v>
      </c>
      <c r="G44" s="114"/>
      <c r="H44" s="40"/>
      <c r="I44" s="40"/>
      <c r="J44" s="40"/>
      <c r="K44" s="40"/>
      <c r="L44" s="115" t="s">
        <v>77</v>
      </c>
      <c r="M44" s="115"/>
    </row>
  </sheetData>
  <sheetProtection password="C61B" sheet="1" formatCells="0" formatColumns="0" formatRows="0"/>
  <mergeCells count="15">
    <mergeCell ref="D4:E4"/>
    <mergeCell ref="F4:G4"/>
    <mergeCell ref="P4:Q5"/>
    <mergeCell ref="H4:I4"/>
    <mergeCell ref="J4:K4"/>
    <mergeCell ref="L4:M4"/>
    <mergeCell ref="N4:O4"/>
    <mergeCell ref="R4:R5"/>
    <mergeCell ref="F44:G44"/>
    <mergeCell ref="L44:M44"/>
    <mergeCell ref="A2:Q2"/>
    <mergeCell ref="A3:Q3"/>
    <mergeCell ref="A4:A5"/>
    <mergeCell ref="B4:B5"/>
    <mergeCell ref="C4:C5"/>
  </mergeCells>
  <conditionalFormatting sqref="I5">
    <cfRule type="cellIs" priority="30" dxfId="2" operator="equal" stopIfTrue="1">
      <formula>5</formula>
    </cfRule>
    <cfRule type="cellIs" priority="31" dxfId="1" operator="equal" stopIfTrue="1">
      <formula>4</formula>
    </cfRule>
  </conditionalFormatting>
  <conditionalFormatting sqref="I5">
    <cfRule type="cellIs" priority="29" dxfId="0" operator="equal">
      <formula>1</formula>
    </cfRule>
  </conditionalFormatting>
  <conditionalFormatting sqref="E6:E41 G6:G41 I6:I41 K6:K41 M6:M41 O6:O41 Q6:Q41">
    <cfRule type="cellIs" priority="5" dxfId="3" operator="equal" stopIfTrue="1">
      <formula>1</formula>
    </cfRule>
  </conditionalFormatting>
  <printOptions horizontalCentered="1"/>
  <pageMargins left="0.15748031496062992" right="0.15748031496062992" top="0.4724409448818898" bottom="0.1968503937007874" header="0.4724409448818898" footer="0.196850393700787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R44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4.8515625" style="33" customWidth="1"/>
    <col min="2" max="2" width="38.57421875" style="33" customWidth="1"/>
    <col min="3" max="3" width="19.28125" style="33" customWidth="1"/>
    <col min="4" max="9" width="7.8515625" style="33" hidden="1" customWidth="1"/>
    <col min="10" max="11" width="10.8515625" style="33" hidden="1" customWidth="1"/>
    <col min="12" max="15" width="9.8515625" style="33" hidden="1" customWidth="1"/>
    <col min="16" max="17" width="10.00390625" style="33" customWidth="1"/>
    <col min="18" max="18" width="5.00390625" style="33" customWidth="1"/>
    <col min="19" max="16384" width="9.140625" style="33" customWidth="1"/>
  </cols>
  <sheetData>
    <row r="1" ht="29.25" customHeight="1"/>
    <row r="2" spans="1:17" ht="16.5" customHeight="1">
      <c r="A2" s="116" t="s">
        <v>158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6.5" customHeight="1">
      <c r="A3" s="116" t="s">
        <v>69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8" ht="26.25" customHeight="1">
      <c r="A4" s="99" t="s">
        <v>0</v>
      </c>
      <c r="B4" s="103" t="s">
        <v>67</v>
      </c>
      <c r="C4" s="103" t="s">
        <v>68</v>
      </c>
      <c r="D4" s="103" t="s">
        <v>70</v>
      </c>
      <c r="E4" s="103"/>
      <c r="F4" s="103" t="s">
        <v>71</v>
      </c>
      <c r="G4" s="103"/>
      <c r="H4" s="103" t="s">
        <v>72</v>
      </c>
      <c r="I4" s="103"/>
      <c r="J4" s="103" t="s">
        <v>73</v>
      </c>
      <c r="K4" s="103"/>
      <c r="L4" s="103" t="s">
        <v>74</v>
      </c>
      <c r="M4" s="103"/>
      <c r="N4" s="103" t="s">
        <v>75</v>
      </c>
      <c r="O4" s="103"/>
      <c r="P4" s="121" t="s">
        <v>1</v>
      </c>
      <c r="Q4" s="121" t="s">
        <v>3</v>
      </c>
      <c r="R4" s="99" t="s">
        <v>0</v>
      </c>
    </row>
    <row r="5" spans="1:18" ht="26.25" customHeight="1">
      <c r="A5" s="99"/>
      <c r="B5" s="103"/>
      <c r="C5" s="103"/>
      <c r="D5" s="34" t="s">
        <v>1</v>
      </c>
      <c r="E5" s="34" t="s">
        <v>3</v>
      </c>
      <c r="F5" s="34" t="s">
        <v>1</v>
      </c>
      <c r="G5" s="34" t="s">
        <v>3</v>
      </c>
      <c r="H5" s="34" t="s">
        <v>1</v>
      </c>
      <c r="I5" s="36" t="s">
        <v>3</v>
      </c>
      <c r="J5" s="34" t="s">
        <v>1</v>
      </c>
      <c r="K5" s="34" t="s">
        <v>3</v>
      </c>
      <c r="L5" s="34" t="s">
        <v>1</v>
      </c>
      <c r="M5" s="34" t="s">
        <v>3</v>
      </c>
      <c r="N5" s="34" t="s">
        <v>1</v>
      </c>
      <c r="O5" s="34" t="s">
        <v>3</v>
      </c>
      <c r="P5" s="122"/>
      <c r="Q5" s="122"/>
      <c r="R5" s="99"/>
    </row>
    <row r="6" spans="1:18" ht="15" customHeight="1">
      <c r="A6" s="34">
        <v>24</v>
      </c>
      <c r="B6" s="37" t="str">
        <f>IF(A6="","",VLOOKUP(A6,Жеребьевка!$A$6:$C$45,2,0))</f>
        <v>Лобачёва Анжелика Юрьевна</v>
      </c>
      <c r="C6" s="38" t="str">
        <f>IF(A6="","",VLOOKUP(A6,Жеребьевка!$A$6:$C$45,3,0))</f>
        <v>Волгоград</v>
      </c>
      <c r="D6" s="14">
        <f>'Модуль А-ПДД'!G32</f>
        <v>10</v>
      </c>
      <c r="E6" s="36">
        <f aca="true" t="shared" si="0" ref="E6:E22">RANK(D6,$D$6:$D$41,0)</f>
        <v>6</v>
      </c>
      <c r="F6" s="14">
        <f>'Модуль B-ЗУ ТРМ'!P33</f>
        <v>11.5</v>
      </c>
      <c r="G6" s="25">
        <f aca="true" t="shared" si="1" ref="G6:G41">RANK(F6,$F$6:$F$41,0)</f>
        <v>2</v>
      </c>
      <c r="H6" s="14">
        <f>'Модуль С-Приемка ПС'!G32</f>
        <v>23.8</v>
      </c>
      <c r="I6" s="25">
        <f aca="true" t="shared" si="2" ref="I6:I41">RANK(H6,$H$6:$H$41,0)</f>
        <v>3</v>
      </c>
      <c r="J6" s="14">
        <f>'Модуль D-КОП'!R33</f>
        <v>8.1</v>
      </c>
      <c r="K6" s="25">
        <f aca="true" t="shared" si="3" ref="K6:K41">RANK(J6,$J$6:$J$41,0)</f>
        <v>3</v>
      </c>
      <c r="L6" s="14">
        <f>'Модуль Е-Вождение'!BH33</f>
        <v>75.83000000000001</v>
      </c>
      <c r="M6" s="36">
        <f aca="true" t="shared" si="4" ref="M6:M41">RANK(L6,$L$6:$L$41,0)</f>
        <v>2</v>
      </c>
      <c r="N6" s="14">
        <f>'Модуль G-Комф вождение'!BH33</f>
        <v>62.75000000000001</v>
      </c>
      <c r="O6" s="25">
        <f aca="true" t="shared" si="5" ref="O6:O41">RANK(N6,$N$6:$N$41,0)</f>
        <v>3</v>
      </c>
      <c r="P6" s="39">
        <f aca="true" t="shared" si="6" ref="P6:P41">D6+F6+H6+J6+L6+N6</f>
        <v>191.98000000000002</v>
      </c>
      <c r="Q6" s="35">
        <f aca="true" t="shared" si="7" ref="Q6:Q41">RANK(P6,$P$6:$P$41,0)</f>
        <v>1</v>
      </c>
      <c r="R6" s="34">
        <f aca="true" t="shared" si="8" ref="R6:R41">A6</f>
        <v>24</v>
      </c>
    </row>
    <row r="7" spans="1:18" ht="15" customHeight="1">
      <c r="A7" s="34">
        <v>25</v>
      </c>
      <c r="B7" s="37" t="str">
        <f>IF(A7="","",VLOOKUP(A7,Жеребьевка!$A$6:$C$45,2,0))</f>
        <v>Пиженко Анатолий Александрович</v>
      </c>
      <c r="C7" s="38" t="str">
        <f>IF(A7="","",VLOOKUP(A7,Жеребьевка!$A$6:$C$45,3,0))</f>
        <v>Волгоград</v>
      </c>
      <c r="D7" s="14">
        <f>'Модуль А-ПДД'!G33</f>
        <v>11</v>
      </c>
      <c r="E7" s="36">
        <f t="shared" si="0"/>
        <v>3</v>
      </c>
      <c r="F7" s="14">
        <f>'Модуль B-ЗУ ТРМ'!P34</f>
        <v>9.4</v>
      </c>
      <c r="G7" s="25">
        <f t="shared" si="1"/>
        <v>9</v>
      </c>
      <c r="H7" s="14">
        <f>'Модуль С-Приемка ПС'!G33</f>
        <v>22.200000000000003</v>
      </c>
      <c r="I7" s="25">
        <f t="shared" si="2"/>
        <v>5</v>
      </c>
      <c r="J7" s="14">
        <f>'Модуль D-КОП'!R34</f>
        <v>8.5</v>
      </c>
      <c r="K7" s="25">
        <f t="shared" si="3"/>
        <v>1</v>
      </c>
      <c r="L7" s="14">
        <f>'Модуль Е-Вождение'!BH34</f>
        <v>77.73</v>
      </c>
      <c r="M7" s="36">
        <f t="shared" si="4"/>
        <v>1</v>
      </c>
      <c r="N7" s="14">
        <f>'Модуль G-Комф вождение'!BH34</f>
        <v>62.86000000000001</v>
      </c>
      <c r="O7" s="25">
        <f t="shared" si="5"/>
        <v>1</v>
      </c>
      <c r="P7" s="39">
        <f t="shared" si="6"/>
        <v>191.69000000000003</v>
      </c>
      <c r="Q7" s="35">
        <f t="shared" si="7"/>
        <v>2</v>
      </c>
      <c r="R7" s="34">
        <f t="shared" si="8"/>
        <v>25</v>
      </c>
    </row>
    <row r="8" spans="1:18" ht="15" customHeight="1">
      <c r="A8" s="34">
        <v>33</v>
      </c>
      <c r="B8" s="37" t="str">
        <f>IF(A8="","",VLOOKUP(A8,Жеребьевка!$A$6:$C$45,2,0))</f>
        <v>Панин Сергей Эдуардович</v>
      </c>
      <c r="C8" s="38" t="str">
        <f>IF(A8="","",VLOOKUP(A8,Жеребьевка!$A$6:$C$45,3,0))</f>
        <v>Самара</v>
      </c>
      <c r="D8" s="14">
        <f>'Модуль А-ПДД'!G41</f>
        <v>12</v>
      </c>
      <c r="E8" s="36">
        <f t="shared" si="0"/>
        <v>1</v>
      </c>
      <c r="F8" s="14">
        <f>'Модуль B-ЗУ ТРМ'!P42</f>
        <v>10.4</v>
      </c>
      <c r="G8" s="25">
        <f t="shared" si="1"/>
        <v>5</v>
      </c>
      <c r="H8" s="14">
        <f>'Модуль С-Приемка ПС'!G41</f>
        <v>22.200000000000003</v>
      </c>
      <c r="I8" s="25">
        <f t="shared" si="2"/>
        <v>5</v>
      </c>
      <c r="J8" s="14">
        <f>'Модуль D-КОП'!R42</f>
        <v>6.8999999999999995</v>
      </c>
      <c r="K8" s="25">
        <f t="shared" si="3"/>
        <v>8</v>
      </c>
      <c r="L8" s="14">
        <f>'Модуль Е-Вождение'!BH42</f>
        <v>73.59</v>
      </c>
      <c r="M8" s="36">
        <f t="shared" si="4"/>
        <v>3</v>
      </c>
      <c r="N8" s="14">
        <f>'Модуль G-Комф вождение'!BH42</f>
        <v>62.82</v>
      </c>
      <c r="O8" s="25">
        <f t="shared" si="5"/>
        <v>2</v>
      </c>
      <c r="P8" s="39">
        <f t="shared" si="6"/>
        <v>187.91</v>
      </c>
      <c r="Q8" s="35">
        <f t="shared" si="7"/>
        <v>3</v>
      </c>
      <c r="R8" s="34">
        <f t="shared" si="8"/>
        <v>33</v>
      </c>
    </row>
    <row r="9" spans="1:18" ht="15" customHeight="1">
      <c r="A9" s="34">
        <v>14</v>
      </c>
      <c r="B9" s="37" t="str">
        <f>IF(A9="","",VLOOKUP(A9,Жеребьевка!$A$6:$C$45,2,0))</f>
        <v>Скударнов Игорь Сергеевич</v>
      </c>
      <c r="C9" s="38" t="str">
        <f>IF(A9="","",VLOOKUP(A9,Жеребьевка!$A$6:$C$45,3,0))</f>
        <v>Санкт-Петербург</v>
      </c>
      <c r="D9" s="14">
        <f>'Модуль А-ПДД'!G22</f>
        <v>10</v>
      </c>
      <c r="E9" s="36">
        <f t="shared" si="0"/>
        <v>6</v>
      </c>
      <c r="F9" s="14">
        <f>'Модуль B-ЗУ ТРМ'!P23</f>
        <v>12</v>
      </c>
      <c r="G9" s="25">
        <f t="shared" si="1"/>
        <v>1</v>
      </c>
      <c r="H9" s="14">
        <f>'Модуль С-Приемка ПС'!G22</f>
        <v>22.200000000000003</v>
      </c>
      <c r="I9" s="25">
        <f t="shared" si="2"/>
        <v>5</v>
      </c>
      <c r="J9" s="14">
        <f>'Модуль D-КОП'!R23</f>
        <v>7.5</v>
      </c>
      <c r="K9" s="25">
        <f t="shared" si="3"/>
        <v>6</v>
      </c>
      <c r="L9" s="14">
        <f>'Модуль Е-Вождение'!BH23</f>
        <v>67.48</v>
      </c>
      <c r="M9" s="36">
        <f t="shared" si="4"/>
        <v>6</v>
      </c>
      <c r="N9" s="14">
        <f>'Модуль G-Комф вождение'!BH23</f>
        <v>61.62</v>
      </c>
      <c r="O9" s="25">
        <f t="shared" si="5"/>
        <v>6</v>
      </c>
      <c r="P9" s="39">
        <f t="shared" si="6"/>
        <v>180.8</v>
      </c>
      <c r="Q9" s="35">
        <f t="shared" si="7"/>
        <v>4</v>
      </c>
      <c r="R9" s="34">
        <f t="shared" si="8"/>
        <v>14</v>
      </c>
    </row>
    <row r="10" spans="1:18" ht="15" customHeight="1">
      <c r="A10" s="34">
        <v>35</v>
      </c>
      <c r="B10" s="37" t="str">
        <f>IF(A10="","",VLOOKUP(A10,Жеребьевка!$A$6:$C$45,2,0))</f>
        <v>Гнусов Павел Михайлович</v>
      </c>
      <c r="C10" s="38" t="str">
        <f>IF(A10="","",VLOOKUP(A10,Жеребьевка!$A$6:$C$45,3,0))</f>
        <v>Ижевск</v>
      </c>
      <c r="D10" s="14">
        <f>'Модуль А-ПДД'!G43</f>
        <v>10</v>
      </c>
      <c r="E10" s="36">
        <f t="shared" si="0"/>
        <v>6</v>
      </c>
      <c r="F10" s="14">
        <f>'Модуль B-ЗУ ТРМ'!P44</f>
        <v>11</v>
      </c>
      <c r="G10" s="25">
        <f t="shared" si="1"/>
        <v>3</v>
      </c>
      <c r="H10" s="14">
        <f>'Модуль С-Приемка ПС'!G43</f>
        <v>22.6</v>
      </c>
      <c r="I10" s="25">
        <f t="shared" si="2"/>
        <v>4</v>
      </c>
      <c r="J10" s="14">
        <f>'Модуль D-КОП'!R44</f>
        <v>7</v>
      </c>
      <c r="K10" s="25">
        <f t="shared" si="3"/>
        <v>7</v>
      </c>
      <c r="L10" s="14">
        <f>'Модуль Е-Вождение'!BH44</f>
        <v>62.779999999999994</v>
      </c>
      <c r="M10" s="36">
        <f t="shared" si="4"/>
        <v>10</v>
      </c>
      <c r="N10" s="14">
        <f>'Модуль G-Комф вождение'!BH44</f>
        <v>60.69</v>
      </c>
      <c r="O10" s="25">
        <f t="shared" si="5"/>
        <v>8</v>
      </c>
      <c r="P10" s="39">
        <f t="shared" si="6"/>
        <v>174.07</v>
      </c>
      <c r="Q10" s="35">
        <f t="shared" si="7"/>
        <v>5</v>
      </c>
      <c r="R10" s="34">
        <f t="shared" si="8"/>
        <v>35</v>
      </c>
    </row>
    <row r="11" spans="1:18" ht="15" customHeight="1">
      <c r="A11" s="34">
        <v>11</v>
      </c>
      <c r="B11" s="37" t="str">
        <f>IF(A11="","",VLOOKUP(A11,Жеребьевка!$A$6:$C$45,2,0))</f>
        <v>Шахворостова Олеся Владимировна</v>
      </c>
      <c r="C11" s="38" t="str">
        <f>IF(A11="","",VLOOKUP(A11,Жеребьевка!$A$6:$C$45,3,0))</f>
        <v>Барнаул</v>
      </c>
      <c r="D11" s="14">
        <f>'Модуль А-ПДД'!G19</f>
        <v>10</v>
      </c>
      <c r="E11" s="36">
        <f t="shared" si="0"/>
        <v>6</v>
      </c>
      <c r="F11" s="14">
        <f>'Модуль B-ЗУ ТРМ'!P20</f>
        <v>10</v>
      </c>
      <c r="G11" s="25">
        <f t="shared" si="1"/>
        <v>6</v>
      </c>
      <c r="H11" s="14">
        <f>'Модуль С-Приемка ПС'!G19</f>
        <v>24.3</v>
      </c>
      <c r="I11" s="25">
        <f t="shared" si="2"/>
        <v>2</v>
      </c>
      <c r="J11" s="14">
        <f>'Модуль D-КОП'!R20</f>
        <v>6.6</v>
      </c>
      <c r="K11" s="25">
        <f t="shared" si="3"/>
        <v>10</v>
      </c>
      <c r="L11" s="14">
        <f>'Модуль Е-Вождение'!BH20</f>
        <v>54.69</v>
      </c>
      <c r="M11" s="36">
        <f t="shared" si="4"/>
        <v>19</v>
      </c>
      <c r="N11" s="14">
        <f>'Модуль G-Комф вождение'!BH20</f>
        <v>61.61</v>
      </c>
      <c r="O11" s="25">
        <f t="shared" si="5"/>
        <v>7</v>
      </c>
      <c r="P11" s="39">
        <f t="shared" si="6"/>
        <v>167.2</v>
      </c>
      <c r="Q11" s="35">
        <f t="shared" si="7"/>
        <v>6</v>
      </c>
      <c r="R11" s="34">
        <f t="shared" si="8"/>
        <v>11</v>
      </c>
    </row>
    <row r="12" spans="1:18" ht="15" customHeight="1">
      <c r="A12" s="34">
        <v>5</v>
      </c>
      <c r="B12" s="37" t="str">
        <f>IF(A12="","",VLOOKUP(A12,Жеребьевка!$A$6:$C$45,2,0))</f>
        <v>Богатырева Оксана Юрьевна</v>
      </c>
      <c r="C12" s="38" t="str">
        <f>IF(A12="","",VLOOKUP(A12,Жеребьевка!$A$6:$C$45,3,0))</f>
        <v>Липецк</v>
      </c>
      <c r="D12" s="14">
        <f>'Модуль А-ПДД'!G13</f>
        <v>10</v>
      </c>
      <c r="E12" s="36">
        <f t="shared" si="0"/>
        <v>6</v>
      </c>
      <c r="F12" s="14">
        <f>'Модуль B-ЗУ ТРМ'!P14</f>
        <v>10.8</v>
      </c>
      <c r="G12" s="25">
        <f t="shared" si="1"/>
        <v>4</v>
      </c>
      <c r="H12" s="14">
        <f>'Модуль С-Приемка ПС'!G13</f>
        <v>21</v>
      </c>
      <c r="I12" s="25">
        <f t="shared" si="2"/>
        <v>12</v>
      </c>
      <c r="J12" s="14">
        <f>'Модуль D-КОП'!R14</f>
        <v>7.6</v>
      </c>
      <c r="K12" s="25">
        <f t="shared" si="3"/>
        <v>5</v>
      </c>
      <c r="L12" s="14">
        <f>'Модуль Е-Вождение'!BH14</f>
        <v>65.7</v>
      </c>
      <c r="M12" s="36">
        <f t="shared" si="4"/>
        <v>7</v>
      </c>
      <c r="N12" s="14">
        <f>'Модуль G-Комф вождение'!BH14</f>
        <v>50.76</v>
      </c>
      <c r="O12" s="25">
        <f t="shared" si="5"/>
        <v>20</v>
      </c>
      <c r="P12" s="39">
        <f t="shared" si="6"/>
        <v>165.85999999999999</v>
      </c>
      <c r="Q12" s="35">
        <f t="shared" si="7"/>
        <v>7</v>
      </c>
      <c r="R12" s="34">
        <f t="shared" si="8"/>
        <v>5</v>
      </c>
    </row>
    <row r="13" spans="1:18" ht="15" customHeight="1">
      <c r="A13" s="34">
        <v>10</v>
      </c>
      <c r="B13" s="37" t="str">
        <f>IF(A13="","",VLOOKUP(A13,Жеребьевка!$A$6:$C$45,2,0))</f>
        <v>Логинова Оксана Сергеевна</v>
      </c>
      <c r="C13" s="38" t="str">
        <f>IF(A13="","",VLOOKUP(A13,Жеребьевка!$A$6:$C$45,3,0))</f>
        <v>Волжский</v>
      </c>
      <c r="D13" s="14">
        <f>'Модуль А-ПДД'!G18</f>
        <v>9.5</v>
      </c>
      <c r="E13" s="36">
        <f t="shared" si="0"/>
        <v>23</v>
      </c>
      <c r="F13" s="14">
        <f>'Модуль B-ЗУ ТРМ'!P19</f>
        <v>8.2</v>
      </c>
      <c r="G13" s="25">
        <f t="shared" si="1"/>
        <v>11</v>
      </c>
      <c r="H13" s="14">
        <f>'Модуль С-Приемка ПС'!G18</f>
        <v>22.200000000000003</v>
      </c>
      <c r="I13" s="25">
        <f t="shared" si="2"/>
        <v>5</v>
      </c>
      <c r="J13" s="14">
        <f>'Модуль D-КОП'!R19</f>
        <v>4.8</v>
      </c>
      <c r="K13" s="25">
        <f t="shared" si="3"/>
        <v>21</v>
      </c>
      <c r="L13" s="14">
        <f>'Модуль Е-Вождение'!BH19</f>
        <v>67.53</v>
      </c>
      <c r="M13" s="36">
        <f t="shared" si="4"/>
        <v>5</v>
      </c>
      <c r="N13" s="14">
        <f>'Модуль G-Комф вождение'!BH19</f>
        <v>49.74</v>
      </c>
      <c r="O13" s="25">
        <f t="shared" si="5"/>
        <v>24</v>
      </c>
      <c r="P13" s="39">
        <f t="shared" si="6"/>
        <v>161.97</v>
      </c>
      <c r="Q13" s="35">
        <f t="shared" si="7"/>
        <v>8</v>
      </c>
      <c r="R13" s="34">
        <f t="shared" si="8"/>
        <v>10</v>
      </c>
    </row>
    <row r="14" spans="1:18" ht="15" customHeight="1">
      <c r="A14" s="34">
        <v>36</v>
      </c>
      <c r="B14" s="37" t="str">
        <f>IF(A14="","",VLOOKUP(A14,Жеребьевка!$A$6:$C$45,2,0))</f>
        <v>Гайнутдинова Асия Фаридовна</v>
      </c>
      <c r="C14" s="38" t="str">
        <f>IF(A14="","",VLOOKUP(A14,Жеребьевка!$A$6:$C$45,3,0))</f>
        <v>Казань</v>
      </c>
      <c r="D14" s="14">
        <f>'Модуль А-ПДД'!G44</f>
        <v>10</v>
      </c>
      <c r="E14" s="36">
        <f t="shared" si="0"/>
        <v>6</v>
      </c>
      <c r="F14" s="14">
        <f>'Модуль B-ЗУ ТРМ'!P45</f>
        <v>10</v>
      </c>
      <c r="G14" s="25">
        <f t="shared" si="1"/>
        <v>6</v>
      </c>
      <c r="H14" s="14">
        <f>'Модуль С-Приемка ПС'!G44</f>
        <v>20.200000000000003</v>
      </c>
      <c r="I14" s="25">
        <f t="shared" si="2"/>
        <v>13</v>
      </c>
      <c r="J14" s="14">
        <f>'Модуль D-КОП'!R45</f>
        <v>6.050000000000001</v>
      </c>
      <c r="K14" s="25">
        <f t="shared" si="3"/>
        <v>12</v>
      </c>
      <c r="L14" s="14">
        <f>'Модуль Е-Вождение'!BH45</f>
        <v>57.459999999999994</v>
      </c>
      <c r="M14" s="36">
        <f t="shared" si="4"/>
        <v>15</v>
      </c>
      <c r="N14" s="14">
        <f>'Модуль G-Комф вождение'!BH45</f>
        <v>56.61</v>
      </c>
      <c r="O14" s="25">
        <f t="shared" si="5"/>
        <v>11</v>
      </c>
      <c r="P14" s="39">
        <f t="shared" si="6"/>
        <v>160.32</v>
      </c>
      <c r="Q14" s="35">
        <f t="shared" si="7"/>
        <v>9</v>
      </c>
      <c r="R14" s="34">
        <f t="shared" si="8"/>
        <v>36</v>
      </c>
    </row>
    <row r="15" spans="1:18" ht="15" customHeight="1">
      <c r="A15" s="34">
        <v>30</v>
      </c>
      <c r="B15" s="37" t="str">
        <f>IF(A15="","",VLOOKUP(A15,Жеребьевка!$A$6:$C$45,2,0))</f>
        <v>Дикова Ирина Владимировна</v>
      </c>
      <c r="C15" s="38" t="str">
        <f>IF(A15="","",VLOOKUP(A15,Жеребьевка!$A$6:$C$45,3,0))</f>
        <v>Коломна</v>
      </c>
      <c r="D15" s="14">
        <f>'Модуль А-ПДД'!G38</f>
        <v>10</v>
      </c>
      <c r="E15" s="36">
        <f t="shared" si="0"/>
        <v>6</v>
      </c>
      <c r="F15" s="14">
        <f>'Модуль B-ЗУ ТРМ'!P39</f>
        <v>4</v>
      </c>
      <c r="G15" s="25">
        <f t="shared" si="1"/>
        <v>19</v>
      </c>
      <c r="H15" s="14">
        <f>'Модуль С-Приемка ПС'!G38</f>
        <v>24.8</v>
      </c>
      <c r="I15" s="25">
        <f t="shared" si="2"/>
        <v>1</v>
      </c>
      <c r="J15" s="14">
        <f>'Модуль D-КОП'!R39</f>
        <v>8.399999999999999</v>
      </c>
      <c r="K15" s="25">
        <f t="shared" si="3"/>
        <v>2</v>
      </c>
      <c r="L15" s="14">
        <f>'Модуль Е-Вождение'!BH39</f>
        <v>47.6</v>
      </c>
      <c r="M15" s="36">
        <f t="shared" si="4"/>
        <v>27</v>
      </c>
      <c r="N15" s="14">
        <f>'Модуль G-Комф вождение'!BH39</f>
        <v>62.48</v>
      </c>
      <c r="O15" s="25">
        <f t="shared" si="5"/>
        <v>4</v>
      </c>
      <c r="P15" s="39">
        <f t="shared" si="6"/>
        <v>157.28</v>
      </c>
      <c r="Q15" s="35">
        <f t="shared" si="7"/>
        <v>10</v>
      </c>
      <c r="R15" s="34">
        <f t="shared" si="8"/>
        <v>30</v>
      </c>
    </row>
    <row r="16" spans="1:18" ht="15" customHeight="1">
      <c r="A16" s="34">
        <v>21</v>
      </c>
      <c r="B16" s="37" t="str">
        <f>IF(A16="","",VLOOKUP(A16,Жеребьевка!$A$6:$C$45,2,0))</f>
        <v>Сазеев Илья Михайлович</v>
      </c>
      <c r="C16" s="38" t="str">
        <f>IF(A16="","",VLOOKUP(A16,Жеребьевка!$A$6:$C$45,3,0))</f>
        <v>Нижний Новгород</v>
      </c>
      <c r="D16" s="14">
        <f>'Модуль А-ПДД'!G29</f>
        <v>10</v>
      </c>
      <c r="E16" s="36">
        <f t="shared" si="0"/>
        <v>6</v>
      </c>
      <c r="F16" s="14">
        <f>'Модуль B-ЗУ ТРМ'!P30</f>
        <v>2.5999999999999996</v>
      </c>
      <c r="G16" s="25">
        <f t="shared" si="1"/>
        <v>27</v>
      </c>
      <c r="H16" s="14">
        <f>'Модуль С-Приемка ПС'!G29</f>
        <v>20</v>
      </c>
      <c r="I16" s="25">
        <f t="shared" si="2"/>
        <v>14</v>
      </c>
      <c r="J16" s="14">
        <f>'Модуль D-КОП'!R30</f>
        <v>4.8</v>
      </c>
      <c r="K16" s="25">
        <f t="shared" si="3"/>
        <v>21</v>
      </c>
      <c r="L16" s="14">
        <f>'Модуль Е-Вождение'!BH30</f>
        <v>67.67</v>
      </c>
      <c r="M16" s="36">
        <f t="shared" si="4"/>
        <v>4</v>
      </c>
      <c r="N16" s="14">
        <f>'Модуль G-Комф вождение'!BH30</f>
        <v>51.73</v>
      </c>
      <c r="O16" s="25">
        <f t="shared" si="5"/>
        <v>18</v>
      </c>
      <c r="P16" s="39">
        <f t="shared" si="6"/>
        <v>156.79999999999998</v>
      </c>
      <c r="Q16" s="35">
        <f t="shared" si="7"/>
        <v>11</v>
      </c>
      <c r="R16" s="34">
        <f t="shared" si="8"/>
        <v>21</v>
      </c>
    </row>
    <row r="17" spans="1:18" ht="15" customHeight="1">
      <c r="A17" s="34">
        <v>6</v>
      </c>
      <c r="B17" s="37" t="str">
        <f>IF(A17="","",VLOOKUP(A17,Жеребьевка!$A$6:$C$45,2,0))</f>
        <v>Кирова Татьяна Михайловна</v>
      </c>
      <c r="C17" s="38" t="str">
        <f>IF(A17="","",VLOOKUP(A17,Жеребьевка!$A$6:$C$45,3,0))</f>
        <v>Пермь</v>
      </c>
      <c r="D17" s="14">
        <f>'Модуль А-ПДД'!G14</f>
        <v>9.5</v>
      </c>
      <c r="E17" s="36">
        <f t="shared" si="0"/>
        <v>23</v>
      </c>
      <c r="F17" s="14">
        <f>'Модуль B-ЗУ ТРМ'!P15</f>
        <v>4.8</v>
      </c>
      <c r="G17" s="25">
        <f t="shared" si="1"/>
        <v>17</v>
      </c>
      <c r="H17" s="14">
        <f>'Модуль С-Приемка ПС'!G14</f>
        <v>14.8</v>
      </c>
      <c r="I17" s="25">
        <f t="shared" si="2"/>
        <v>23</v>
      </c>
      <c r="J17" s="14">
        <f>'Модуль D-КОП'!R15</f>
        <v>4.5</v>
      </c>
      <c r="K17" s="25">
        <f t="shared" si="3"/>
        <v>25</v>
      </c>
      <c r="L17" s="14">
        <f>'Модуль Е-Вождение'!BH15</f>
        <v>63.58</v>
      </c>
      <c r="M17" s="36">
        <f t="shared" si="4"/>
        <v>8</v>
      </c>
      <c r="N17" s="14">
        <f>'Модуль G-Комф вождение'!BH15</f>
        <v>57.69</v>
      </c>
      <c r="O17" s="25">
        <f t="shared" si="5"/>
        <v>9</v>
      </c>
      <c r="P17" s="39">
        <f t="shared" si="6"/>
        <v>154.87</v>
      </c>
      <c r="Q17" s="35">
        <f t="shared" si="7"/>
        <v>12</v>
      </c>
      <c r="R17" s="34">
        <f t="shared" si="8"/>
        <v>6</v>
      </c>
    </row>
    <row r="18" spans="1:18" ht="15" customHeight="1">
      <c r="A18" s="34">
        <v>20</v>
      </c>
      <c r="B18" s="37" t="str">
        <f>IF(A18="","",VLOOKUP(A18,Жеребьевка!$A$6:$C$45,2,0))</f>
        <v>Королев Дмитрий Сергеевич</v>
      </c>
      <c r="C18" s="38" t="str">
        <f>IF(A18="","",VLOOKUP(A18,Жеребьевка!$A$6:$C$45,3,0))</f>
        <v>Москва</v>
      </c>
      <c r="D18" s="14">
        <f>'Модуль А-ПДД'!G28</f>
        <v>10</v>
      </c>
      <c r="E18" s="36">
        <f t="shared" si="0"/>
        <v>6</v>
      </c>
      <c r="F18" s="14">
        <f>'Модуль B-ЗУ ТРМ'!P29</f>
        <v>3.2</v>
      </c>
      <c r="G18" s="25">
        <f t="shared" si="1"/>
        <v>24</v>
      </c>
      <c r="H18" s="14">
        <f>'Модуль С-Приемка ПС'!G28</f>
        <v>21.6</v>
      </c>
      <c r="I18" s="25">
        <f t="shared" si="2"/>
        <v>10</v>
      </c>
      <c r="J18" s="14">
        <f>'Модуль D-КОП'!R29</f>
        <v>4.4</v>
      </c>
      <c r="K18" s="25">
        <f t="shared" si="3"/>
        <v>26</v>
      </c>
      <c r="L18" s="14">
        <f>'Модуль Е-Вождение'!BH29</f>
        <v>53.78000000000001</v>
      </c>
      <c r="M18" s="36">
        <f t="shared" si="4"/>
        <v>20</v>
      </c>
      <c r="N18" s="14">
        <f>'Модуль G-Комф вождение'!BH29</f>
        <v>61.79</v>
      </c>
      <c r="O18" s="25">
        <f t="shared" si="5"/>
        <v>5</v>
      </c>
      <c r="P18" s="39">
        <f t="shared" si="6"/>
        <v>154.77</v>
      </c>
      <c r="Q18" s="35">
        <f t="shared" si="7"/>
        <v>13</v>
      </c>
      <c r="R18" s="34">
        <f t="shared" si="8"/>
        <v>20</v>
      </c>
    </row>
    <row r="19" spans="1:18" ht="15" customHeight="1">
      <c r="A19" s="34">
        <v>9</v>
      </c>
      <c r="B19" s="37" t="str">
        <f>IF(A19="","",VLOOKUP(A19,Жеребьевка!$A$6:$C$45,2,0))</f>
        <v>Шустров Олег Николаевич</v>
      </c>
      <c r="C19" s="38" t="str">
        <f>IF(A19="","",VLOOKUP(A19,Жеребьевка!$A$6:$C$45,3,0))</f>
        <v>Набережные Челны</v>
      </c>
      <c r="D19" s="14">
        <f>'Модуль А-ПДД'!G17</f>
        <v>10</v>
      </c>
      <c r="E19" s="36">
        <f t="shared" si="0"/>
        <v>6</v>
      </c>
      <c r="F19" s="14">
        <f>'Модуль B-ЗУ ТРМ'!P18</f>
        <v>8.8</v>
      </c>
      <c r="G19" s="25">
        <f t="shared" si="1"/>
        <v>10</v>
      </c>
      <c r="H19" s="14">
        <f>'Модуль С-Приемка ПС'!G17</f>
        <v>0</v>
      </c>
      <c r="I19" s="25">
        <f t="shared" si="2"/>
        <v>26</v>
      </c>
      <c r="J19" s="14">
        <f>'Модуль D-КОП'!R18</f>
        <v>7.8999999999999995</v>
      </c>
      <c r="K19" s="25">
        <f t="shared" si="3"/>
        <v>4</v>
      </c>
      <c r="L19" s="14">
        <f>'Модуль Е-Вождение'!BH18</f>
        <v>60.64</v>
      </c>
      <c r="M19" s="36">
        <f t="shared" si="4"/>
        <v>12</v>
      </c>
      <c r="N19" s="14">
        <f>'Модуль G-Комф вождение'!BH18</f>
        <v>57.65</v>
      </c>
      <c r="O19" s="25">
        <f t="shared" si="5"/>
        <v>10</v>
      </c>
      <c r="P19" s="39">
        <f t="shared" si="6"/>
        <v>144.99</v>
      </c>
      <c r="Q19" s="35">
        <f t="shared" si="7"/>
        <v>14</v>
      </c>
      <c r="R19" s="34">
        <f t="shared" si="8"/>
        <v>9</v>
      </c>
    </row>
    <row r="20" spans="1:18" ht="15" customHeight="1">
      <c r="A20" s="34">
        <v>29</v>
      </c>
      <c r="B20" s="37" t="str">
        <f>IF(A20="","",VLOOKUP(A20,Жеребьевка!$A$6:$C$45,2,0))</f>
        <v>Шереверов Алексей Юрьевич</v>
      </c>
      <c r="C20" s="38" t="str">
        <f>IF(A20="","",VLOOKUP(A20,Жеребьевка!$A$6:$C$45,3,0))</f>
        <v>Ростов-на-Дону</v>
      </c>
      <c r="D20" s="14">
        <f>'Модуль А-ПДД'!G37</f>
        <v>9.5</v>
      </c>
      <c r="E20" s="36">
        <f t="shared" si="0"/>
        <v>23</v>
      </c>
      <c r="F20" s="14">
        <f>'Модуль B-ЗУ ТРМ'!P38</f>
        <v>1.7999999999999998</v>
      </c>
      <c r="G20" s="25">
        <f t="shared" si="1"/>
        <v>29</v>
      </c>
      <c r="H20" s="14">
        <f>'Модуль С-Приемка ПС'!G37</f>
        <v>14.4</v>
      </c>
      <c r="I20" s="25">
        <f t="shared" si="2"/>
        <v>24</v>
      </c>
      <c r="J20" s="14">
        <f>'Модуль D-КОП'!R38</f>
        <v>3.8</v>
      </c>
      <c r="K20" s="25">
        <f t="shared" si="3"/>
        <v>29</v>
      </c>
      <c r="L20" s="14">
        <f>'Модуль Е-Вождение'!BH38</f>
        <v>61.879999999999995</v>
      </c>
      <c r="M20" s="36">
        <f t="shared" si="4"/>
        <v>11</v>
      </c>
      <c r="N20" s="14">
        <f>'Модуль G-Комф вождение'!BH38</f>
        <v>52.92</v>
      </c>
      <c r="O20" s="25">
        <f t="shared" si="5"/>
        <v>16</v>
      </c>
      <c r="P20" s="39">
        <f t="shared" si="6"/>
        <v>144.3</v>
      </c>
      <c r="Q20" s="35">
        <f t="shared" si="7"/>
        <v>15</v>
      </c>
      <c r="R20" s="34">
        <f t="shared" si="8"/>
        <v>29</v>
      </c>
    </row>
    <row r="21" spans="1:18" ht="15" customHeight="1">
      <c r="A21" s="34">
        <v>3</v>
      </c>
      <c r="B21" s="37" t="str">
        <f>IF(A21="","",VLOOKUP(A21,Жеребьевка!$A$6:$C$45,2,0))</f>
        <v>Гайнуллин Рустам Фаритович</v>
      </c>
      <c r="C21" s="38" t="str">
        <f>IF(A21="","",VLOOKUP(A21,Жеребьевка!$A$6:$C$45,3,0))</f>
        <v>Челябинск</v>
      </c>
      <c r="D21" s="14">
        <f>'Модуль А-ПДД'!G11</f>
        <v>10.8</v>
      </c>
      <c r="E21" s="36">
        <f t="shared" si="0"/>
        <v>4</v>
      </c>
      <c r="F21" s="14">
        <f>'Модуль B-ЗУ ТРМ'!P12</f>
        <v>1.2</v>
      </c>
      <c r="G21" s="25">
        <f t="shared" si="1"/>
        <v>32</v>
      </c>
      <c r="H21" s="14">
        <f>'Модуль С-Приемка ПС'!G11</f>
        <v>18.6</v>
      </c>
      <c r="I21" s="25">
        <f t="shared" si="2"/>
        <v>17</v>
      </c>
      <c r="J21" s="14">
        <f>'Модуль D-КОП'!R12</f>
        <v>3.8499999999999996</v>
      </c>
      <c r="K21" s="25">
        <f t="shared" si="3"/>
        <v>28</v>
      </c>
      <c r="L21" s="14">
        <f>'Модуль Е-Вождение'!BH12</f>
        <v>63.57</v>
      </c>
      <c r="M21" s="36">
        <f t="shared" si="4"/>
        <v>9</v>
      </c>
      <c r="N21" s="14">
        <f>'Модуль G-Комф вождение'!BH12</f>
        <v>45.739999999999995</v>
      </c>
      <c r="O21" s="25">
        <f t="shared" si="5"/>
        <v>28</v>
      </c>
      <c r="P21" s="39">
        <f t="shared" si="6"/>
        <v>143.76</v>
      </c>
      <c r="Q21" s="35">
        <f t="shared" si="7"/>
        <v>16</v>
      </c>
      <c r="R21" s="34">
        <f t="shared" si="8"/>
        <v>3</v>
      </c>
    </row>
    <row r="22" spans="1:18" ht="15" customHeight="1">
      <c r="A22" s="34">
        <v>26</v>
      </c>
      <c r="B22" s="37" t="str">
        <f>IF(A22="","",VLOOKUP(A22,Жеребьевка!$A$6:$C$45,2,0))</f>
        <v>Полещук Юлия Викторовна</v>
      </c>
      <c r="C22" s="38" t="str">
        <f>IF(A22="","",VLOOKUP(A22,Жеребьевка!$A$6:$C$45,3,0))</f>
        <v>Курск</v>
      </c>
      <c r="D22" s="14">
        <f>'Модуль А-ПДД'!G34</f>
        <v>10</v>
      </c>
      <c r="E22" s="36">
        <f t="shared" si="0"/>
        <v>6</v>
      </c>
      <c r="F22" s="14">
        <f>'Модуль B-ЗУ ТРМ'!P35</f>
        <v>5.3999999999999995</v>
      </c>
      <c r="G22" s="25">
        <f t="shared" si="1"/>
        <v>16</v>
      </c>
      <c r="H22" s="14">
        <f>'Модуль С-Приемка ПС'!G34</f>
        <v>0</v>
      </c>
      <c r="I22" s="25">
        <f t="shared" si="2"/>
        <v>26</v>
      </c>
      <c r="J22" s="14">
        <f>'Модуль D-КОП'!R35</f>
        <v>6.75</v>
      </c>
      <c r="K22" s="25">
        <f t="shared" si="3"/>
        <v>9</v>
      </c>
      <c r="L22" s="14">
        <f>'Модуль Е-Вождение'!BH35</f>
        <v>57.800000000000004</v>
      </c>
      <c r="M22" s="36">
        <f t="shared" si="4"/>
        <v>14</v>
      </c>
      <c r="N22" s="14">
        <f>'Модуль G-Комф вождение'!BH35</f>
        <v>56.33</v>
      </c>
      <c r="O22" s="25">
        <f t="shared" si="5"/>
        <v>12</v>
      </c>
      <c r="P22" s="39">
        <f t="shared" si="6"/>
        <v>136.28</v>
      </c>
      <c r="Q22" s="35">
        <f t="shared" si="7"/>
        <v>17</v>
      </c>
      <c r="R22" s="34">
        <f t="shared" si="8"/>
        <v>26</v>
      </c>
    </row>
    <row r="23" spans="1:18" ht="15" customHeight="1">
      <c r="A23" s="34">
        <v>1</v>
      </c>
      <c r="B23" s="37" t="str">
        <f>IF(A23="","",VLOOKUP(A23,Жеребьевка!$A$6:$C$45,2,0))</f>
        <v>Шибин Евгений Владимирович</v>
      </c>
      <c r="C23" s="38" t="str">
        <f>IF(A23="","",VLOOKUP(A23,Жеребьевка!$A$6:$C$45,3,0))</f>
        <v>Саратов</v>
      </c>
      <c r="D23" s="14">
        <f>'Модуль А-ПДД'!G9</f>
        <v>9</v>
      </c>
      <c r="E23" s="36">
        <f>RANK(D23,$D$6:$D$36,0)</f>
        <v>27</v>
      </c>
      <c r="F23" s="14">
        <f>'Модуль B-ЗУ ТРМ'!P10</f>
        <v>0.6</v>
      </c>
      <c r="G23" s="25">
        <f t="shared" si="1"/>
        <v>34</v>
      </c>
      <c r="H23" s="14">
        <f>'Модуль С-Приемка ПС'!G9</f>
        <v>14.200000000000001</v>
      </c>
      <c r="I23" s="25">
        <f t="shared" si="2"/>
        <v>25</v>
      </c>
      <c r="J23" s="14">
        <f>'Модуль D-КОП'!R10</f>
        <v>4.25</v>
      </c>
      <c r="K23" s="25">
        <f t="shared" si="3"/>
        <v>27</v>
      </c>
      <c r="L23" s="14">
        <f>'Модуль Е-Вождение'!BH10</f>
        <v>59.690000000000005</v>
      </c>
      <c r="M23" s="36">
        <f t="shared" si="4"/>
        <v>13</v>
      </c>
      <c r="N23" s="14">
        <f>'Модуль G-Комф вождение'!BH10</f>
        <v>47.61</v>
      </c>
      <c r="O23" s="25">
        <f t="shared" si="5"/>
        <v>26</v>
      </c>
      <c r="P23" s="39">
        <f t="shared" si="6"/>
        <v>135.35000000000002</v>
      </c>
      <c r="Q23" s="35">
        <f t="shared" si="7"/>
        <v>18</v>
      </c>
      <c r="R23" s="14">
        <f t="shared" si="8"/>
        <v>1</v>
      </c>
    </row>
    <row r="24" spans="1:18" ht="15" customHeight="1">
      <c r="A24" s="34">
        <v>2</v>
      </c>
      <c r="B24" s="37" t="str">
        <f>IF(A24="","",VLOOKUP(A24,Жеребьевка!$A$6:$C$45,2,0))</f>
        <v>Мельницын Сергей Владимирович</v>
      </c>
      <c r="C24" s="38" t="str">
        <f>IF(A24="","",VLOOKUP(A24,Жеребьевка!$A$6:$C$45,3,0))</f>
        <v>Екатеринбург</v>
      </c>
      <c r="D24" s="14">
        <f>'Модуль А-ПДД'!G10</f>
        <v>10</v>
      </c>
      <c r="E24" s="36">
        <f aca="true" t="shared" si="9" ref="E24:E41">RANK(D24,$D$6:$D$41,0)</f>
        <v>6</v>
      </c>
      <c r="F24" s="14">
        <f>'Модуль B-ЗУ ТРМ'!P11</f>
        <v>0</v>
      </c>
      <c r="G24" s="25">
        <f t="shared" si="1"/>
        <v>36</v>
      </c>
      <c r="H24" s="14">
        <f>'Модуль С-Приемка ПС'!G10</f>
        <v>22.200000000000003</v>
      </c>
      <c r="I24" s="25">
        <f t="shared" si="2"/>
        <v>5</v>
      </c>
      <c r="J24" s="14">
        <f>'Модуль D-КОП'!R11</f>
        <v>5</v>
      </c>
      <c r="K24" s="25">
        <f t="shared" si="3"/>
        <v>18</v>
      </c>
      <c r="L24" s="14">
        <f>'Модуль Е-Вождение'!BH11</f>
        <v>40.69</v>
      </c>
      <c r="M24" s="36">
        <f t="shared" si="4"/>
        <v>31</v>
      </c>
      <c r="N24" s="14">
        <f>'Модуль G-Комф вождение'!BH11</f>
        <v>55.59</v>
      </c>
      <c r="O24" s="25">
        <f t="shared" si="5"/>
        <v>14</v>
      </c>
      <c r="P24" s="39">
        <f t="shared" si="6"/>
        <v>133.48000000000002</v>
      </c>
      <c r="Q24" s="35">
        <f t="shared" si="7"/>
        <v>19</v>
      </c>
      <c r="R24" s="34">
        <f t="shared" si="8"/>
        <v>2</v>
      </c>
    </row>
    <row r="25" spans="1:18" ht="15" customHeight="1">
      <c r="A25" s="34">
        <v>22</v>
      </c>
      <c r="B25" s="37" t="str">
        <f>IF(A25="","",VLOOKUP(A25,Жеребьевка!$A$6:$C$45,2,0))</f>
        <v>Кузюк Валентина Павловна</v>
      </c>
      <c r="C25" s="38" t="str">
        <f>IF(A25="","",VLOOKUP(A25,Жеребьевка!$A$6:$C$45,3,0))</f>
        <v>Ачинск</v>
      </c>
      <c r="D25" s="14">
        <f>'Модуль А-ПДД'!G30</f>
        <v>0</v>
      </c>
      <c r="E25" s="36">
        <f t="shared" si="9"/>
        <v>33</v>
      </c>
      <c r="F25" s="14">
        <f>'Модуль B-ЗУ ТРМ'!P31</f>
        <v>2</v>
      </c>
      <c r="G25" s="25">
        <f t="shared" si="1"/>
        <v>28</v>
      </c>
      <c r="H25" s="14">
        <f>'Модуль С-Приемка ПС'!G30</f>
        <v>18</v>
      </c>
      <c r="I25" s="25">
        <f t="shared" si="2"/>
        <v>19</v>
      </c>
      <c r="J25" s="14">
        <f>'Модуль D-КОП'!R31</f>
        <v>4.55</v>
      </c>
      <c r="K25" s="25">
        <f t="shared" si="3"/>
        <v>24</v>
      </c>
      <c r="L25" s="14">
        <f>'Модуль Е-Вождение'!BH31</f>
        <v>55.69</v>
      </c>
      <c r="M25" s="36">
        <f t="shared" si="4"/>
        <v>16</v>
      </c>
      <c r="N25" s="14">
        <f>'Модуль G-Комф вождение'!BH31</f>
        <v>49.77</v>
      </c>
      <c r="O25" s="25">
        <f t="shared" si="5"/>
        <v>23</v>
      </c>
      <c r="P25" s="39">
        <f t="shared" si="6"/>
        <v>130.01</v>
      </c>
      <c r="Q25" s="35">
        <f t="shared" si="7"/>
        <v>20</v>
      </c>
      <c r="R25" s="34">
        <f t="shared" si="8"/>
        <v>22</v>
      </c>
    </row>
    <row r="26" spans="1:18" ht="15" customHeight="1">
      <c r="A26" s="34">
        <v>32</v>
      </c>
      <c r="B26" s="37" t="str">
        <f>IF(A26="","",VLOOKUP(A26,Жеребьевка!$A$6:$C$45,2,0))</f>
        <v>Долганов Никита Вячеславович</v>
      </c>
      <c r="C26" s="38" t="str">
        <f>IF(A26="","",VLOOKUP(A26,Жеребьевка!$A$6:$C$45,3,0))</f>
        <v>Самара</v>
      </c>
      <c r="D26" s="14">
        <f>'Модуль А-ПДД'!G40</f>
        <v>0</v>
      </c>
      <c r="E26" s="36">
        <f t="shared" si="9"/>
        <v>33</v>
      </c>
      <c r="F26" s="14">
        <f>'Модуль B-ЗУ ТРМ'!P41</f>
        <v>3.9999999999999996</v>
      </c>
      <c r="G26" s="25">
        <f t="shared" si="1"/>
        <v>21</v>
      </c>
      <c r="H26" s="14">
        <f>'Модуль С-Приемка ПС'!G40</f>
        <v>21.400000000000002</v>
      </c>
      <c r="I26" s="25">
        <f t="shared" si="2"/>
        <v>11</v>
      </c>
      <c r="J26" s="14">
        <f>'Модуль D-КОП'!R41</f>
        <v>5.4</v>
      </c>
      <c r="K26" s="25">
        <f t="shared" si="3"/>
        <v>15</v>
      </c>
      <c r="L26" s="14">
        <f>'Модуль Е-Вождение'!BH41</f>
        <v>42.58</v>
      </c>
      <c r="M26" s="36">
        <f t="shared" si="4"/>
        <v>29</v>
      </c>
      <c r="N26" s="14">
        <f>'Модуль G-Комф вождение'!BH41</f>
        <v>55.73</v>
      </c>
      <c r="O26" s="25">
        <f t="shared" si="5"/>
        <v>13</v>
      </c>
      <c r="P26" s="39">
        <f t="shared" si="6"/>
        <v>129.10999999999999</v>
      </c>
      <c r="Q26" s="35">
        <f t="shared" si="7"/>
        <v>21</v>
      </c>
      <c r="R26" s="34">
        <f t="shared" si="8"/>
        <v>32</v>
      </c>
    </row>
    <row r="27" spans="1:18" ht="15" customHeight="1">
      <c r="A27" s="34">
        <v>13</v>
      </c>
      <c r="B27" s="37" t="str">
        <f>IF(A27="","",VLOOKUP(A27,Жеребьевка!$A$6:$C$45,2,0))</f>
        <v>Панкин Алексей Владимирович</v>
      </c>
      <c r="C27" s="38" t="str">
        <f>IF(A27="","",VLOOKUP(A27,Жеребьевка!$A$6:$C$45,3,0))</f>
        <v>Уфа</v>
      </c>
      <c r="D27" s="14">
        <f>'Модуль А-ПДД'!G21</f>
        <v>11.5</v>
      </c>
      <c r="E27" s="36">
        <f t="shared" si="9"/>
        <v>2</v>
      </c>
      <c r="F27" s="14">
        <f>'Модуль B-ЗУ ТРМ'!P22</f>
        <v>3.1999999999999997</v>
      </c>
      <c r="G27" s="25">
        <f t="shared" si="1"/>
        <v>26</v>
      </c>
      <c r="H27" s="14">
        <f>'Модуль С-Приемка ПС'!G21</f>
        <v>17</v>
      </c>
      <c r="I27" s="25">
        <f t="shared" si="2"/>
        <v>21</v>
      </c>
      <c r="J27" s="14">
        <f>'Модуль D-КОП'!R22</f>
        <v>4.7</v>
      </c>
      <c r="K27" s="25">
        <f t="shared" si="3"/>
        <v>23</v>
      </c>
      <c r="L27" s="14">
        <f>'Модуль Е-Вождение'!BH22</f>
        <v>41.88</v>
      </c>
      <c r="M27" s="36">
        <f t="shared" si="4"/>
        <v>30</v>
      </c>
      <c r="N27" s="14">
        <f>'Модуль G-Комф вождение'!BH22</f>
        <v>50.730000000000004</v>
      </c>
      <c r="O27" s="25">
        <f t="shared" si="5"/>
        <v>21</v>
      </c>
      <c r="P27" s="39">
        <f t="shared" si="6"/>
        <v>129.01</v>
      </c>
      <c r="Q27" s="35">
        <f t="shared" si="7"/>
        <v>22</v>
      </c>
      <c r="R27" s="34">
        <f t="shared" si="8"/>
        <v>13</v>
      </c>
    </row>
    <row r="28" spans="1:18" ht="15" customHeight="1">
      <c r="A28" s="34">
        <v>17</v>
      </c>
      <c r="B28" s="37" t="str">
        <f>IF(A28="","",VLOOKUP(A28,Жеребьевка!$A$6:$C$45,2,0))</f>
        <v>Ефремов Александр Николаевич</v>
      </c>
      <c r="C28" s="38" t="str">
        <f>IF(A28="","",VLOOKUP(A28,Жеребьевка!$A$6:$C$45,3,0))</f>
        <v>Омск</v>
      </c>
      <c r="D28" s="14">
        <f>'Модуль А-ПДД'!G25</f>
        <v>9.5</v>
      </c>
      <c r="E28" s="36">
        <f t="shared" si="9"/>
        <v>23</v>
      </c>
      <c r="F28" s="14">
        <f>'Модуль B-ЗУ ТРМ'!P26</f>
        <v>6.199999999999999</v>
      </c>
      <c r="G28" s="25">
        <f t="shared" si="1"/>
        <v>13</v>
      </c>
      <c r="H28" s="14">
        <f>'Модуль С-Приемка ПС'!G25</f>
        <v>16.6</v>
      </c>
      <c r="I28" s="25">
        <f t="shared" si="2"/>
        <v>22</v>
      </c>
      <c r="J28" s="14">
        <f>'Модуль D-КОП'!R26</f>
        <v>6.05</v>
      </c>
      <c r="K28" s="25">
        <f t="shared" si="3"/>
        <v>13</v>
      </c>
      <c r="L28" s="14">
        <f>'Модуль Е-Вождение'!BH26</f>
        <v>53.69</v>
      </c>
      <c r="M28" s="36">
        <f t="shared" si="4"/>
        <v>21</v>
      </c>
      <c r="N28" s="14">
        <f>'Модуль G-Комф вождение'!BH26</f>
        <v>35.980000000000004</v>
      </c>
      <c r="O28" s="25">
        <f t="shared" si="5"/>
        <v>30</v>
      </c>
      <c r="P28" s="39">
        <f t="shared" si="6"/>
        <v>128.01999999999998</v>
      </c>
      <c r="Q28" s="35">
        <f t="shared" si="7"/>
        <v>23</v>
      </c>
      <c r="R28" s="34">
        <f t="shared" si="8"/>
        <v>17</v>
      </c>
    </row>
    <row r="29" spans="1:18" ht="15" customHeight="1">
      <c r="A29" s="34">
        <v>7</v>
      </c>
      <c r="B29" s="37" t="str">
        <f>IF(A29="","",VLOOKUP(A29,Жеребьевка!$A$6:$C$45,2,0))</f>
        <v>Чугунова Ольга Викторовна</v>
      </c>
      <c r="C29" s="38" t="str">
        <f>IF(A29="","",VLOOKUP(A29,Жеребьевка!$A$6:$C$45,3,0))</f>
        <v>Краснодар</v>
      </c>
      <c r="D29" s="14">
        <f>'Модуль А-ПДД'!G15</f>
        <v>10</v>
      </c>
      <c r="E29" s="36">
        <f t="shared" si="9"/>
        <v>6</v>
      </c>
      <c r="F29" s="14">
        <f>'Модуль B-ЗУ ТРМ'!P16</f>
        <v>4</v>
      </c>
      <c r="G29" s="25">
        <f t="shared" si="1"/>
        <v>19</v>
      </c>
      <c r="H29" s="14">
        <f>'Модуль С-Приемка ПС'!G15</f>
        <v>18.400000000000002</v>
      </c>
      <c r="I29" s="25">
        <f t="shared" si="2"/>
        <v>18</v>
      </c>
      <c r="J29" s="14">
        <f>'Модуль D-КОП'!R16</f>
        <v>0</v>
      </c>
      <c r="K29" s="25">
        <f t="shared" si="3"/>
        <v>32</v>
      </c>
      <c r="L29" s="14">
        <f>'Модуль Е-Вождение'!BH16</f>
        <v>38.85</v>
      </c>
      <c r="M29" s="36">
        <f t="shared" si="4"/>
        <v>32</v>
      </c>
      <c r="N29" s="14">
        <f>'Модуль G-Комф вождение'!BH16</f>
        <v>54.21</v>
      </c>
      <c r="O29" s="25">
        <f t="shared" si="5"/>
        <v>15</v>
      </c>
      <c r="P29" s="39">
        <f t="shared" si="6"/>
        <v>125.46000000000001</v>
      </c>
      <c r="Q29" s="35">
        <f t="shared" si="7"/>
        <v>24</v>
      </c>
      <c r="R29" s="34">
        <f t="shared" si="8"/>
        <v>7</v>
      </c>
    </row>
    <row r="30" spans="1:18" ht="15" customHeight="1">
      <c r="A30" s="34">
        <v>23</v>
      </c>
      <c r="B30" s="37" t="str">
        <f>IF(A30="","",VLOOKUP(A30,Жеребьевка!$A$6:$C$45,2,0))</f>
        <v>Глуханюк Михаил Юрьевич</v>
      </c>
      <c r="C30" s="38" t="str">
        <f>IF(A30="","",VLOOKUP(A30,Жеребьевка!$A$6:$C$45,3,0))</f>
        <v>Санкт-Петербург</v>
      </c>
      <c r="D30" s="14">
        <f>'Модуль А-ПДД'!G31</f>
        <v>10</v>
      </c>
      <c r="E30" s="36">
        <f t="shared" si="9"/>
        <v>6</v>
      </c>
      <c r="F30" s="14">
        <f>'Модуль B-ЗУ ТРМ'!P32</f>
        <v>10</v>
      </c>
      <c r="G30" s="25">
        <f t="shared" si="1"/>
        <v>6</v>
      </c>
      <c r="H30" s="14">
        <f>'Модуль С-Приемка ПС'!G31</f>
        <v>0</v>
      </c>
      <c r="I30" s="25">
        <f t="shared" si="2"/>
        <v>26</v>
      </c>
      <c r="J30" s="14">
        <f>'Модуль D-КОП'!R32</f>
        <v>5.3</v>
      </c>
      <c r="K30" s="25">
        <f t="shared" si="3"/>
        <v>16</v>
      </c>
      <c r="L30" s="14">
        <f>'Модуль Е-Вождение'!BH32</f>
        <v>36.91</v>
      </c>
      <c r="M30" s="36">
        <f t="shared" si="4"/>
        <v>34</v>
      </c>
      <c r="N30" s="14">
        <f>'Модуль G-Комф вождение'!BH32</f>
        <v>52.81</v>
      </c>
      <c r="O30" s="25">
        <f t="shared" si="5"/>
        <v>17</v>
      </c>
      <c r="P30" s="39">
        <f t="shared" si="6"/>
        <v>115.02</v>
      </c>
      <c r="Q30" s="35">
        <f t="shared" si="7"/>
        <v>25</v>
      </c>
      <c r="R30" s="34">
        <f t="shared" si="8"/>
        <v>23</v>
      </c>
    </row>
    <row r="31" spans="1:18" ht="15" customHeight="1">
      <c r="A31" s="34">
        <v>34</v>
      </c>
      <c r="B31" s="37" t="str">
        <f>IF(A31="","",VLOOKUP(A31,Жеребьевка!$A$6:$C$45,2,0))</f>
        <v>Шучалова Татьяна Владимировна</v>
      </c>
      <c r="C31" s="38" t="str">
        <f>IF(A31="","",VLOOKUP(A31,Жеребьевка!$A$6:$C$45,3,0))</f>
        <v>Магнитогорск</v>
      </c>
      <c r="D31" s="14">
        <f>'Модуль А-ПДД'!G42</f>
        <v>0</v>
      </c>
      <c r="E31" s="36">
        <f t="shared" si="9"/>
        <v>33</v>
      </c>
      <c r="F31" s="14">
        <f>'Модуль B-ЗУ ТРМ'!P43</f>
        <v>1.4</v>
      </c>
      <c r="G31" s="25">
        <f t="shared" si="1"/>
        <v>30</v>
      </c>
      <c r="H31" s="14">
        <f>'Модуль С-Приемка ПС'!G42</f>
        <v>0</v>
      </c>
      <c r="I31" s="25">
        <f t="shared" si="2"/>
        <v>26</v>
      </c>
      <c r="J31" s="14">
        <f>'Модуль D-КОП'!R43</f>
        <v>4.949999999999999</v>
      </c>
      <c r="K31" s="25">
        <f t="shared" si="3"/>
        <v>19</v>
      </c>
      <c r="L31" s="14">
        <f>'Модуль Е-Вождение'!BH43</f>
        <v>48.48</v>
      </c>
      <c r="M31" s="36">
        <f t="shared" si="4"/>
        <v>25</v>
      </c>
      <c r="N31" s="14">
        <f>'Модуль G-Комф вождение'!BH43</f>
        <v>50.36</v>
      </c>
      <c r="O31" s="25">
        <f t="shared" si="5"/>
        <v>22</v>
      </c>
      <c r="P31" s="39">
        <f t="shared" si="6"/>
        <v>105.19</v>
      </c>
      <c r="Q31" s="35">
        <f t="shared" si="7"/>
        <v>26</v>
      </c>
      <c r="R31" s="34">
        <f t="shared" si="8"/>
        <v>34</v>
      </c>
    </row>
    <row r="32" spans="1:18" ht="15" customHeight="1">
      <c r="A32" s="34">
        <v>18</v>
      </c>
      <c r="B32" s="37" t="str">
        <f>IF(A32="","",VLOOKUP(A32,Жеребьевка!$A$6:$C$45,2,0))</f>
        <v>Володина Анастасия Александровна</v>
      </c>
      <c r="C32" s="38" t="str">
        <f>IF(A32="","",VLOOKUP(A32,Жеребьевка!$A$6:$C$45,3,0))</f>
        <v>Новокузнецк</v>
      </c>
      <c r="D32" s="14">
        <f>'Модуль А-ПДД'!G26</f>
        <v>9.5</v>
      </c>
      <c r="E32" s="36">
        <f t="shared" si="9"/>
        <v>23</v>
      </c>
      <c r="F32" s="14">
        <f>'Модуль B-ЗУ ТРМ'!P27</f>
        <v>4.6</v>
      </c>
      <c r="G32" s="25">
        <f t="shared" si="1"/>
        <v>18</v>
      </c>
      <c r="H32" s="14">
        <f>'Модуль С-Приемка ПС'!G26</f>
        <v>0</v>
      </c>
      <c r="I32" s="25">
        <f t="shared" si="2"/>
        <v>26</v>
      </c>
      <c r="J32" s="14">
        <f>'Модуль D-КОП'!R27</f>
        <v>6.05</v>
      </c>
      <c r="K32" s="25">
        <f t="shared" si="3"/>
        <v>13</v>
      </c>
      <c r="L32" s="14">
        <f>'Модуль Е-Вождение'!BH27</f>
        <v>37.81</v>
      </c>
      <c r="M32" s="36">
        <f t="shared" si="4"/>
        <v>33</v>
      </c>
      <c r="N32" s="14">
        <f>'Модуль G-Комф вождение'!BH27</f>
        <v>46.83</v>
      </c>
      <c r="O32" s="25">
        <f t="shared" si="5"/>
        <v>27</v>
      </c>
      <c r="P32" s="39">
        <f t="shared" si="6"/>
        <v>104.78999999999999</v>
      </c>
      <c r="Q32" s="35">
        <f t="shared" si="7"/>
        <v>27</v>
      </c>
      <c r="R32" s="34">
        <f t="shared" si="8"/>
        <v>18</v>
      </c>
    </row>
    <row r="33" spans="1:18" ht="15" customHeight="1">
      <c r="A33" s="34">
        <v>8</v>
      </c>
      <c r="B33" s="37" t="str">
        <f>IF(A33="","",VLOOKUP(A33,Жеребьевка!$A$6:$C$45,2,0))</f>
        <v>Фомин Владимир Александрович</v>
      </c>
      <c r="C33" s="38" t="str">
        <f>IF(A33="","",VLOOKUP(A33,Жеребьевка!$A$6:$C$45,3,0))</f>
        <v>Нижний Новгород</v>
      </c>
      <c r="D33" s="14">
        <f>'Модуль А-ПДД'!G16</f>
        <v>10</v>
      </c>
      <c r="E33" s="36">
        <f t="shared" si="9"/>
        <v>6</v>
      </c>
      <c r="F33" s="14">
        <f>'Модуль B-ЗУ ТРМ'!P17</f>
        <v>3.2</v>
      </c>
      <c r="G33" s="25">
        <f t="shared" si="1"/>
        <v>24</v>
      </c>
      <c r="H33" s="14">
        <f>'Модуль С-Приемка ПС'!G16</f>
        <v>18.8</v>
      </c>
      <c r="I33" s="25">
        <f t="shared" si="2"/>
        <v>16</v>
      </c>
      <c r="J33" s="14">
        <f>'Модуль D-КОП'!R17</f>
        <v>6.449999999999999</v>
      </c>
      <c r="K33" s="25">
        <f t="shared" si="3"/>
        <v>11</v>
      </c>
      <c r="L33" s="14">
        <f>'Модуль Е-Вождение'!BH17</f>
        <v>54.87</v>
      </c>
      <c r="M33" s="36">
        <f t="shared" si="4"/>
        <v>17</v>
      </c>
      <c r="N33" s="14">
        <f>'Модуль G-Комф вождение'!BH17</f>
        <v>0</v>
      </c>
      <c r="O33" s="25">
        <f t="shared" si="5"/>
        <v>31</v>
      </c>
      <c r="P33" s="39">
        <f t="shared" si="6"/>
        <v>93.32</v>
      </c>
      <c r="Q33" s="35">
        <f t="shared" si="7"/>
        <v>28</v>
      </c>
      <c r="R33" s="34">
        <f t="shared" si="8"/>
        <v>8</v>
      </c>
    </row>
    <row r="34" spans="1:18" ht="15" customHeight="1">
      <c r="A34" s="34">
        <v>16</v>
      </c>
      <c r="B34" s="37" t="str">
        <f>IF(A34="","",VLOOKUP(A34,Жеребьевка!$A$6:$C$45,2,0))</f>
        <v>Поляков Денис Анатольевич</v>
      </c>
      <c r="C34" s="38" t="str">
        <f>IF(A34="","",VLOOKUP(A34,Жеребьевка!$A$6:$C$45,3,0))</f>
        <v>Новотроицк</v>
      </c>
      <c r="D34" s="14">
        <f>'Модуль А-ПДД'!G24</f>
        <v>0</v>
      </c>
      <c r="E34" s="36">
        <f t="shared" si="9"/>
        <v>33</v>
      </c>
      <c r="F34" s="14">
        <f>'Модуль B-ЗУ ТРМ'!P25</f>
        <v>0.6</v>
      </c>
      <c r="G34" s="25">
        <f t="shared" si="1"/>
        <v>34</v>
      </c>
      <c r="H34" s="14">
        <f>'Модуль С-Приемка ПС'!G24</f>
        <v>0</v>
      </c>
      <c r="I34" s="25">
        <f t="shared" si="2"/>
        <v>26</v>
      </c>
      <c r="J34" s="14">
        <f>'Модуль D-КОП'!R25</f>
        <v>2.4</v>
      </c>
      <c r="K34" s="25">
        <f t="shared" si="3"/>
        <v>31</v>
      </c>
      <c r="L34" s="14">
        <f>'Модуль Е-Вождение'!BH25</f>
        <v>47.63</v>
      </c>
      <c r="M34" s="36">
        <f t="shared" si="4"/>
        <v>26</v>
      </c>
      <c r="N34" s="14">
        <f>'Модуль G-Комф вождение'!BH25</f>
        <v>39.85</v>
      </c>
      <c r="O34" s="25">
        <f t="shared" si="5"/>
        <v>29</v>
      </c>
      <c r="P34" s="39">
        <f t="shared" si="6"/>
        <v>90.48</v>
      </c>
      <c r="Q34" s="35">
        <f t="shared" si="7"/>
        <v>29</v>
      </c>
      <c r="R34" s="34">
        <f t="shared" si="8"/>
        <v>16</v>
      </c>
    </row>
    <row r="35" spans="1:18" ht="15" customHeight="1">
      <c r="A35" s="34">
        <v>28</v>
      </c>
      <c r="B35" s="37" t="str">
        <f>IF(A35="","",VLOOKUP(A35,Жеребьевка!$A$6:$C$45,2,0))</f>
        <v>Филатов Александр Валерьевич</v>
      </c>
      <c r="C35" s="38" t="str">
        <f>IF(A35="","",VLOOKUP(A35,Жеребьевка!$A$6:$C$45,3,0))</f>
        <v>Челябинск</v>
      </c>
      <c r="D35" s="14">
        <f>'Модуль А-ПДД'!G36</f>
        <v>10</v>
      </c>
      <c r="E35" s="36">
        <f t="shared" si="9"/>
        <v>6</v>
      </c>
      <c r="F35" s="14">
        <f>'Модуль B-ЗУ ТРМ'!P37</f>
        <v>3.4</v>
      </c>
      <c r="G35" s="25">
        <f t="shared" si="1"/>
        <v>22</v>
      </c>
      <c r="H35" s="14">
        <f>'Модуль С-Приемка ПС'!G36</f>
        <v>17.8</v>
      </c>
      <c r="I35" s="25">
        <f t="shared" si="2"/>
        <v>20</v>
      </c>
      <c r="J35" s="14">
        <f>'Модуль D-КОП'!R37</f>
        <v>4.85</v>
      </c>
      <c r="K35" s="25">
        <f t="shared" si="3"/>
        <v>20</v>
      </c>
      <c r="L35" s="14">
        <f>'Модуль Е-Вождение'!BH37</f>
        <v>0</v>
      </c>
      <c r="M35" s="36">
        <f t="shared" si="4"/>
        <v>35</v>
      </c>
      <c r="N35" s="14">
        <f>'Модуль G-Комф вождение'!BH37</f>
        <v>51.629999999999995</v>
      </c>
      <c r="O35" s="25">
        <f t="shared" si="5"/>
        <v>19</v>
      </c>
      <c r="P35" s="39">
        <f t="shared" si="6"/>
        <v>87.68</v>
      </c>
      <c r="Q35" s="35">
        <f t="shared" si="7"/>
        <v>30</v>
      </c>
      <c r="R35" s="34">
        <f t="shared" si="8"/>
        <v>28</v>
      </c>
    </row>
    <row r="36" spans="1:18" ht="15" customHeight="1">
      <c r="A36" s="34">
        <v>27</v>
      </c>
      <c r="B36" s="37" t="str">
        <f>IF(A36="","",VLOOKUP(A36,Жеребьевка!$A$6:$C$45,2,0))</f>
        <v>Прохорова Ольга Викторовна</v>
      </c>
      <c r="C36" s="38" t="str">
        <f>IF(A36="","",VLOOKUP(A36,Жеребьевка!$A$6:$C$45,3,0))</f>
        <v>Ульяновск</v>
      </c>
      <c r="D36" s="14">
        <f>'Модуль А-ПДД'!G35</f>
        <v>10</v>
      </c>
      <c r="E36" s="36">
        <f t="shared" si="9"/>
        <v>6</v>
      </c>
      <c r="F36" s="14">
        <f>'Модуль B-ЗУ ТРМ'!P36</f>
        <v>6.199999999999999</v>
      </c>
      <c r="G36" s="25">
        <f t="shared" si="1"/>
        <v>13</v>
      </c>
      <c r="H36" s="14">
        <f>'Модуль С-Приемка ПС'!G35</f>
        <v>19.8</v>
      </c>
      <c r="I36" s="25">
        <f t="shared" si="2"/>
        <v>15</v>
      </c>
      <c r="J36" s="14">
        <f>'Модуль D-КОП'!R36</f>
        <v>0</v>
      </c>
      <c r="K36" s="25">
        <f t="shared" si="3"/>
        <v>32</v>
      </c>
      <c r="L36" s="14">
        <f>'Модуль Е-Вождение'!BH36</f>
        <v>48.7</v>
      </c>
      <c r="M36" s="36">
        <f t="shared" si="4"/>
        <v>24</v>
      </c>
      <c r="N36" s="14">
        <f>'Модуль G-Комф вождение'!BH36</f>
        <v>0</v>
      </c>
      <c r="O36" s="25">
        <f t="shared" si="5"/>
        <v>31</v>
      </c>
      <c r="P36" s="39">
        <f t="shared" si="6"/>
        <v>84.7</v>
      </c>
      <c r="Q36" s="35">
        <f t="shared" si="7"/>
        <v>31</v>
      </c>
      <c r="R36" s="34">
        <f t="shared" si="8"/>
        <v>27</v>
      </c>
    </row>
    <row r="37" spans="1:18" ht="15" customHeight="1">
      <c r="A37" s="34">
        <v>19</v>
      </c>
      <c r="B37" s="37" t="str">
        <f>IF(A37="","",VLOOKUP(A37,Жеребьевка!$A$6:$C$45,2,0))</f>
        <v>Черных Максим Юрьевич</v>
      </c>
      <c r="C37" s="38" t="str">
        <f>IF(A37="","",VLOOKUP(A37,Жеребьевка!$A$6:$C$45,3,0))</f>
        <v>Новосибирск</v>
      </c>
      <c r="D37" s="14">
        <f>'Модуль А-ПДД'!G27</f>
        <v>10.4</v>
      </c>
      <c r="E37" s="36">
        <f t="shared" si="9"/>
        <v>5</v>
      </c>
      <c r="F37" s="14">
        <f>'Модуль B-ЗУ ТРМ'!P28</f>
        <v>3.4</v>
      </c>
      <c r="G37" s="25">
        <f t="shared" si="1"/>
        <v>22</v>
      </c>
      <c r="H37" s="14">
        <f>'Модуль С-Приемка ПС'!G27</f>
        <v>0</v>
      </c>
      <c r="I37" s="25">
        <f t="shared" si="2"/>
        <v>26</v>
      </c>
      <c r="J37" s="14">
        <f>'Модуль D-КОП'!R28</f>
        <v>3.8</v>
      </c>
      <c r="K37" s="25">
        <f t="shared" si="3"/>
        <v>29</v>
      </c>
      <c r="L37" s="14">
        <f>'Модуль Е-Вождение'!BH28</f>
        <v>54.87</v>
      </c>
      <c r="M37" s="36">
        <f t="shared" si="4"/>
        <v>17</v>
      </c>
      <c r="N37" s="14">
        <f>'Модуль G-Комф вождение'!BH28</f>
        <v>0</v>
      </c>
      <c r="O37" s="25">
        <f t="shared" si="5"/>
        <v>31</v>
      </c>
      <c r="P37" s="39">
        <f t="shared" si="6"/>
        <v>72.47</v>
      </c>
      <c r="Q37" s="35">
        <f t="shared" si="7"/>
        <v>32</v>
      </c>
      <c r="R37" s="34">
        <f t="shared" si="8"/>
        <v>19</v>
      </c>
    </row>
    <row r="38" spans="1:18" ht="15" customHeight="1">
      <c r="A38" s="34">
        <v>4</v>
      </c>
      <c r="B38" s="37" t="str">
        <f>IF(A38="","",VLOOKUP(A38,Жеребьевка!$A$6:$C$45,2,0))</f>
        <v>Мартынов Владимир Михайлович</v>
      </c>
      <c r="C38" s="38" t="str">
        <f>IF(A38="","",VLOOKUP(A38,Жеребьевка!$A$6:$C$45,3,0))</f>
        <v>Орёл</v>
      </c>
      <c r="D38" s="14">
        <f>'Модуль А-ПДД'!G12</f>
        <v>9.5</v>
      </c>
      <c r="E38" s="36">
        <f t="shared" si="9"/>
        <v>23</v>
      </c>
      <c r="F38" s="14">
        <f>'Модуль B-ЗУ ТРМ'!P13</f>
        <v>1.4</v>
      </c>
      <c r="G38" s="25">
        <f t="shared" si="1"/>
        <v>30</v>
      </c>
      <c r="H38" s="14">
        <f>'Модуль С-Приемка ПС'!G12</f>
        <v>0</v>
      </c>
      <c r="I38" s="25">
        <f t="shared" si="2"/>
        <v>26</v>
      </c>
      <c r="J38" s="14">
        <f>'Модуль D-КОП'!R13</f>
        <v>5.05</v>
      </c>
      <c r="K38" s="25">
        <f t="shared" si="3"/>
        <v>17</v>
      </c>
      <c r="L38" s="14">
        <f>'Модуль Е-Вождение'!BH13</f>
        <v>52.38</v>
      </c>
      <c r="M38" s="36">
        <f t="shared" si="4"/>
        <v>22</v>
      </c>
      <c r="N38" s="14">
        <f>'Модуль G-Комф вождение'!BH13</f>
        <v>0</v>
      </c>
      <c r="O38" s="25">
        <f t="shared" si="5"/>
        <v>31</v>
      </c>
      <c r="P38" s="39">
        <f t="shared" si="6"/>
        <v>68.33</v>
      </c>
      <c r="Q38" s="35">
        <f t="shared" si="7"/>
        <v>33</v>
      </c>
      <c r="R38" s="34">
        <f t="shared" si="8"/>
        <v>4</v>
      </c>
    </row>
    <row r="39" spans="1:18" ht="15" customHeight="1">
      <c r="A39" s="34">
        <v>15</v>
      </c>
      <c r="B39" s="37" t="str">
        <f>IF(A39="","",VLOOKUP(A39,Жеребьевка!$A$6:$C$45,2,0))</f>
        <v>Грабилова Евгения Вячеславовна</v>
      </c>
      <c r="C39" s="38" t="str">
        <f>IF(A39="","",VLOOKUP(A39,Жеребьевка!$A$6:$C$45,3,0))</f>
        <v>Москва</v>
      </c>
      <c r="D39" s="14">
        <f>'Модуль А-ПДД'!G23</f>
        <v>9.5</v>
      </c>
      <c r="E39" s="36">
        <f t="shared" si="9"/>
        <v>23</v>
      </c>
      <c r="F39" s="14">
        <f>'Модуль B-ЗУ ТРМ'!P24</f>
        <v>6.199999999999999</v>
      </c>
      <c r="G39" s="25">
        <f t="shared" si="1"/>
        <v>13</v>
      </c>
      <c r="H39" s="14">
        <f>'Модуль С-Приемка ПС'!G23</f>
        <v>0</v>
      </c>
      <c r="I39" s="25">
        <f t="shared" si="2"/>
        <v>26</v>
      </c>
      <c r="J39" s="14">
        <f>'Модуль D-КОП'!R24</f>
        <v>0</v>
      </c>
      <c r="K39" s="25">
        <f t="shared" si="3"/>
        <v>32</v>
      </c>
      <c r="L39" s="14">
        <f>'Модуль Е-Вождение'!BH24</f>
        <v>0</v>
      </c>
      <c r="M39" s="36">
        <f t="shared" si="4"/>
        <v>35</v>
      </c>
      <c r="N39" s="14">
        <f>'Модуль G-Комф вождение'!BH24</f>
        <v>48.79</v>
      </c>
      <c r="O39" s="25">
        <f t="shared" si="5"/>
        <v>25</v>
      </c>
      <c r="P39" s="39">
        <f t="shared" si="6"/>
        <v>64.49</v>
      </c>
      <c r="Q39" s="35">
        <f t="shared" si="7"/>
        <v>34</v>
      </c>
      <c r="R39" s="34">
        <f t="shared" si="8"/>
        <v>15</v>
      </c>
    </row>
    <row r="40" spans="1:18" ht="15" customHeight="1">
      <c r="A40" s="34">
        <v>12</v>
      </c>
      <c r="B40" s="37" t="str">
        <f>IF(A40="","",VLOOKUP(A40,Жеребьевка!$A$6:$C$45,2,0))</f>
        <v>Бондаренко Станислав Геннадьевич</v>
      </c>
      <c r="C40" s="38" t="str">
        <f>IF(A40="","",VLOOKUP(A40,Жеребьевка!$A$6:$C$45,3,0))</f>
        <v>Новосибирск</v>
      </c>
      <c r="D40" s="14">
        <f>'Модуль А-ПДД'!G20</f>
        <v>9.5</v>
      </c>
      <c r="E40" s="36">
        <f t="shared" si="9"/>
        <v>23</v>
      </c>
      <c r="F40" s="14">
        <f>'Модуль B-ЗУ ТРМ'!P21</f>
        <v>7.6</v>
      </c>
      <c r="G40" s="25">
        <f t="shared" si="1"/>
        <v>12</v>
      </c>
      <c r="H40" s="14">
        <f>'Модуль С-Приемка ПС'!G20</f>
        <v>0</v>
      </c>
      <c r="I40" s="25">
        <f t="shared" si="2"/>
        <v>26</v>
      </c>
      <c r="J40" s="14">
        <f>'Модуль D-КОП'!R21</f>
        <v>0</v>
      </c>
      <c r="K40" s="25">
        <f t="shared" si="3"/>
        <v>32</v>
      </c>
      <c r="L40" s="14">
        <f>'Модуль Е-Вождение'!BH21</f>
        <v>44.84</v>
      </c>
      <c r="M40" s="36">
        <f t="shared" si="4"/>
        <v>28</v>
      </c>
      <c r="N40" s="14">
        <f>'Модуль G-Комф вождение'!BH21</f>
        <v>0</v>
      </c>
      <c r="O40" s="25">
        <f t="shared" si="5"/>
        <v>31</v>
      </c>
      <c r="P40" s="39">
        <f t="shared" si="6"/>
        <v>61.940000000000005</v>
      </c>
      <c r="Q40" s="35">
        <f t="shared" si="7"/>
        <v>35</v>
      </c>
      <c r="R40" s="34">
        <f t="shared" si="8"/>
        <v>12</v>
      </c>
    </row>
    <row r="41" spans="1:18" ht="15" customHeight="1">
      <c r="A41" s="34">
        <v>31</v>
      </c>
      <c r="B41" s="37" t="str">
        <f>IF(A41="","",VLOOKUP(A41,Жеребьевка!$A$6:$C$45,2,0))</f>
        <v>Демина Кристина Альбертовна</v>
      </c>
      <c r="C41" s="38" t="str">
        <f>IF(A41="","",VLOOKUP(A41,Жеребьевка!$A$6:$C$45,3,0))</f>
        <v>Златоуст</v>
      </c>
      <c r="D41" s="14">
        <f>'Модуль А-ПДД'!G39</f>
        <v>9</v>
      </c>
      <c r="E41" s="36">
        <f t="shared" si="9"/>
        <v>31</v>
      </c>
      <c r="F41" s="14">
        <f>'Модуль B-ЗУ ТРМ'!P40</f>
        <v>1.2</v>
      </c>
      <c r="G41" s="25">
        <f t="shared" si="1"/>
        <v>32</v>
      </c>
      <c r="H41" s="14">
        <f>'Модуль С-Приемка ПС'!G39</f>
        <v>0</v>
      </c>
      <c r="I41" s="25">
        <f t="shared" si="2"/>
        <v>26</v>
      </c>
      <c r="J41" s="14">
        <f>'Модуль D-КОП'!R40</f>
        <v>0</v>
      </c>
      <c r="K41" s="25">
        <f t="shared" si="3"/>
        <v>32</v>
      </c>
      <c r="L41" s="14">
        <f>'Модуль Е-Вождение'!BH40</f>
        <v>51.56999999999999</v>
      </c>
      <c r="M41" s="36">
        <f t="shared" si="4"/>
        <v>23</v>
      </c>
      <c r="N41" s="14">
        <f>'Модуль G-Комф вождение'!BH40</f>
        <v>0</v>
      </c>
      <c r="O41" s="25">
        <f t="shared" si="5"/>
        <v>31</v>
      </c>
      <c r="P41" s="39">
        <f t="shared" si="6"/>
        <v>61.769999999999996</v>
      </c>
      <c r="Q41" s="35">
        <f t="shared" si="7"/>
        <v>36</v>
      </c>
      <c r="R41" s="34">
        <f t="shared" si="8"/>
        <v>31</v>
      </c>
    </row>
    <row r="44" spans="1:18" ht="15" customHeight="1">
      <c r="A44" s="92" t="s">
        <v>157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</sheetData>
  <sheetProtection password="C61B" sheet="1" formatCells="0" formatColumns="0" formatRows="0"/>
  <mergeCells count="15">
    <mergeCell ref="D4:E4"/>
    <mergeCell ref="F4:G4"/>
    <mergeCell ref="H4:I4"/>
    <mergeCell ref="J4:K4"/>
    <mergeCell ref="L4:M4"/>
    <mergeCell ref="A44:R44"/>
    <mergeCell ref="P4:P5"/>
    <mergeCell ref="Q4:Q5"/>
    <mergeCell ref="N4:O4"/>
    <mergeCell ref="R4:R5"/>
    <mergeCell ref="A2:Q2"/>
    <mergeCell ref="A3:Q3"/>
    <mergeCell ref="A4:A5"/>
    <mergeCell ref="B4:B5"/>
    <mergeCell ref="C4:C5"/>
  </mergeCells>
  <conditionalFormatting sqref="I5">
    <cfRule type="cellIs" priority="7" dxfId="2" operator="equal" stopIfTrue="1">
      <formula>5</formula>
    </cfRule>
    <cfRule type="cellIs" priority="8" dxfId="1" operator="equal" stopIfTrue="1">
      <formula>4</formula>
    </cfRule>
  </conditionalFormatting>
  <conditionalFormatting sqref="I5">
    <cfRule type="cellIs" priority="6" dxfId="0" operator="equal">
      <formula>1</formula>
    </cfRule>
  </conditionalFormatting>
  <printOptions horizontalCentered="1"/>
  <pageMargins left="0.16" right="0.17" top="0.48" bottom="0.1968503937007874" header="0.48" footer="0.196850393700787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Элен</dc:creator>
  <cp:keywords/>
  <dc:description/>
  <cp:lastModifiedBy>Пользователь</cp:lastModifiedBy>
  <cp:lastPrinted>2021-06-18T05:39:17Z</cp:lastPrinted>
  <dcterms:created xsi:type="dcterms:W3CDTF">2021-06-13T10:47:05Z</dcterms:created>
  <dcterms:modified xsi:type="dcterms:W3CDTF">2021-06-21T07:21:26Z</dcterms:modified>
  <cp:category/>
  <cp:version/>
  <cp:contentType/>
  <cp:contentStatus/>
</cp:coreProperties>
</file>